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61" activeTab="0"/>
  </bookViews>
  <sheets>
    <sheet name="INDEX" sheetId="1" r:id="rId1"/>
    <sheet name="Anne-1" sheetId="2" r:id="rId2"/>
    <sheet name="Anne-2" sheetId="3" r:id="rId3"/>
    <sheet name="Anne-3" sheetId="4" r:id="rId4"/>
    <sheet name="Anne-4" sheetId="5" r:id="rId5"/>
    <sheet name="Anne-5" sheetId="6" r:id="rId6"/>
    <sheet name="Anne-6" sheetId="7" r:id="rId7"/>
    <sheet name="Anne-7" sheetId="8" r:id="rId8"/>
    <sheet name="Anne-8" sheetId="9" r:id="rId9"/>
    <sheet name="Anne-9" sheetId="10" r:id="rId10"/>
    <sheet name="Anne-10" sheetId="11" r:id="rId11"/>
    <sheet name="Anne-11" sheetId="12" r:id="rId12"/>
  </sheets>
  <externalReferences>
    <externalReference r:id="rId15"/>
  </externalReferences>
  <definedNames>
    <definedName name="_xlnm.Print_Area" localSheetId="1">'Anne-1'!$A$1:$AD$46</definedName>
    <definedName name="_xlnm.Print_Area" localSheetId="10">'Anne-10'!$A$1:$P$31</definedName>
    <definedName name="_xlnm.Print_Area" localSheetId="11">'Anne-11'!$A$1:$O$36</definedName>
    <definedName name="_xlnm.Print_Area" localSheetId="2">'Anne-2'!$A$1:$L$26</definedName>
    <definedName name="_xlnm.Print_Area" localSheetId="3">'Anne-3'!$A$1:$AK$36</definedName>
    <definedName name="_xlnm.Print_Area" localSheetId="4">'Anne-4'!$A$1:$V$45</definedName>
    <definedName name="_xlnm.Print_Area" localSheetId="5">'Anne-5'!$A$1:$T$46</definedName>
    <definedName name="_xlnm.Print_Area" localSheetId="6">'Anne-6'!$A$1:$AA$46</definedName>
    <definedName name="_xlnm.Print_Area" localSheetId="7">'Anne-7'!$A$1:$O$44</definedName>
    <definedName name="_xlnm.Print_Area" localSheetId="8">'Anne-8'!$A$1:$P$45</definedName>
    <definedName name="_xlnm.Print_Area" localSheetId="9">'Anne-9'!$A$1:$R$25</definedName>
    <definedName name="_xlnm.Print_Titles" localSheetId="7">'Anne-7'!$A:$B</definedName>
  </definedNames>
  <calcPr fullCalcOnLoad="1"/>
</workbook>
</file>

<file path=xl/comments5.xml><?xml version="1.0" encoding="utf-8"?>
<comments xmlns="http://schemas.openxmlformats.org/spreadsheetml/2006/main">
  <authors>
    <author>adltp</author>
  </authors>
  <commentList>
    <comment ref="AC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  <comment ref="AD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</commentList>
</comments>
</file>

<file path=xl/sharedStrings.xml><?xml version="1.0" encoding="utf-8"?>
<sst xmlns="http://schemas.openxmlformats.org/spreadsheetml/2006/main" count="758" uniqueCount="252">
  <si>
    <t>Name of Cellular Operator</t>
  </si>
  <si>
    <t>BSNL</t>
  </si>
  <si>
    <t>MTNL</t>
  </si>
  <si>
    <t>Bharti</t>
  </si>
  <si>
    <t>Cellular</t>
  </si>
  <si>
    <t>BPL</t>
  </si>
  <si>
    <t>Mobile</t>
  </si>
  <si>
    <t>Telecom</t>
  </si>
  <si>
    <t>Reliable Internet</t>
  </si>
  <si>
    <t>Spice Comm</t>
  </si>
  <si>
    <t xml:space="preserve">Aircel </t>
  </si>
  <si>
    <t xml:space="preserve">Idea </t>
  </si>
  <si>
    <t>Mobile Comm</t>
  </si>
  <si>
    <t>Reliance Telecom</t>
  </si>
  <si>
    <t>Dishnet Wireless</t>
  </si>
  <si>
    <t>Reliance Infocomm. Ltd.</t>
  </si>
  <si>
    <t>Tata Teleservices Ltd.</t>
  </si>
  <si>
    <t>Bharti Telenet Ltd.</t>
  </si>
  <si>
    <t>Name of Wiredline Services Operator</t>
  </si>
  <si>
    <t xml:space="preserve">S. No. </t>
  </si>
  <si>
    <t>Name of circle</t>
  </si>
  <si>
    <t>Andaman &amp; Nicobar</t>
  </si>
  <si>
    <t>Andhra Pradesh</t>
  </si>
  <si>
    <t>Assam</t>
  </si>
  <si>
    <t>Bihar</t>
  </si>
  <si>
    <t>Chhattisgarh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</si>
  <si>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</si>
  <si>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</si>
  <si>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</si>
  <si>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</si>
  <si>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</si>
  <si>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</si>
  <si>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</si>
  <si>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</si>
  <si>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</si>
  <si>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North East - 1</t>
  </si>
  <si>
    <t>North East - 2</t>
  </si>
  <si>
    <t>Orissa</t>
  </si>
  <si>
    <t>Punjab</t>
  </si>
  <si>
    <t>Rajasthan</t>
  </si>
  <si>
    <t>Tamilnadu</t>
  </si>
  <si>
    <t>Uttranchal</t>
  </si>
  <si>
    <t>Uttarpradesh East</t>
  </si>
  <si>
    <t>Uttarpradesh West</t>
  </si>
  <si>
    <t>West Bengal</t>
  </si>
  <si>
    <t>Kolkatta</t>
  </si>
  <si>
    <t>Chennai</t>
  </si>
  <si>
    <t>Total</t>
  </si>
  <si>
    <t>Delhi</t>
  </si>
  <si>
    <t>Mumbai</t>
  </si>
  <si>
    <t>G. Total</t>
  </si>
  <si>
    <t>Percentage Contribution</t>
  </si>
  <si>
    <t>Total PSUs</t>
  </si>
  <si>
    <t>Total Private Operators</t>
  </si>
  <si>
    <t>Bharti Total</t>
  </si>
  <si>
    <t>Aircel Total</t>
  </si>
  <si>
    <t>Idea Total</t>
  </si>
  <si>
    <t>TOTAL</t>
  </si>
  <si>
    <t>Reliance Infocomm. Ltd.(M)</t>
  </si>
  <si>
    <t>Tata Teleservices Ltd.(M)</t>
  </si>
  <si>
    <t>Total PSU</t>
  </si>
  <si>
    <t>Total Private Oprs (M)</t>
  </si>
  <si>
    <t>S. No.</t>
  </si>
  <si>
    <t>Name of Circle</t>
  </si>
  <si>
    <t>Name of Operator</t>
  </si>
  <si>
    <t>Reliance</t>
  </si>
  <si>
    <t>Tata Tele</t>
  </si>
  <si>
    <t>Idea</t>
  </si>
  <si>
    <t>Aircel</t>
  </si>
  <si>
    <t>Total Pvt Opr</t>
  </si>
  <si>
    <t>Grand Total</t>
  </si>
  <si>
    <t>Tata Indicom</t>
  </si>
  <si>
    <t>Shyam Telelinks/ Rainbow</t>
  </si>
  <si>
    <t>4) M.P. Licensing Area includes Chhatisgarh Circle</t>
  </si>
  <si>
    <t>3) UP(W) Licensing Area includes Uttaranchal Circle</t>
  </si>
  <si>
    <t>Bharti Airtel</t>
  </si>
  <si>
    <t>HFCL/ Connect</t>
  </si>
  <si>
    <t>5) Bihar Licensing area includes Jharkhand Circle.</t>
  </si>
  <si>
    <t>(2)  NE-1 Telecom Circle Licensing Area includes NE-2 Circle</t>
  </si>
  <si>
    <t>Note: (1)  West Bengal Telecom Circle Licensing Area includes A &amp; N Circle</t>
  </si>
  <si>
    <t>Grand Total WLL</t>
  </si>
  <si>
    <t>H.P.</t>
  </si>
  <si>
    <t>J&amp;K</t>
  </si>
  <si>
    <t>M.P.</t>
  </si>
  <si>
    <t>U.P.(East)</t>
  </si>
  <si>
    <t>U.P. (West)</t>
  </si>
  <si>
    <t>Population (as per Census 2001)</t>
  </si>
  <si>
    <t>Urban</t>
  </si>
  <si>
    <t>Rural</t>
  </si>
  <si>
    <t xml:space="preserve">Total </t>
  </si>
  <si>
    <t>BSNL Urban</t>
  </si>
  <si>
    <t>BSNL Rural</t>
  </si>
  <si>
    <t>BSNL Total</t>
  </si>
  <si>
    <t>All Operator</t>
  </si>
  <si>
    <t>TD 31.10.2002</t>
  </si>
  <si>
    <t>Rural DELs</t>
  </si>
  <si>
    <t>BSNL License Area wise</t>
  </si>
  <si>
    <t>BSNL WLL</t>
  </si>
  <si>
    <t>Fixed</t>
  </si>
  <si>
    <t>BSNL Mobile</t>
  </si>
  <si>
    <t>BSNL License Areawise</t>
  </si>
  <si>
    <t>Poulation License areawise</t>
  </si>
  <si>
    <t>Popul License areawise</t>
  </si>
  <si>
    <t>Population in thousands</t>
  </si>
  <si>
    <t>PSU DELs license Areawise</t>
  </si>
  <si>
    <t>PSU</t>
  </si>
  <si>
    <t>% Share of BSNL</t>
  </si>
  <si>
    <t>Vodafone Essar</t>
  </si>
  <si>
    <t>Percentage Contribution (Excl. Delhi &amp; Mumbai)</t>
  </si>
  <si>
    <t>Vodaphone Essar</t>
  </si>
  <si>
    <t>Vodafone Total</t>
  </si>
  <si>
    <t>Annexure-1</t>
  </si>
  <si>
    <t>Annexure-6</t>
  </si>
  <si>
    <t>Annexure-5</t>
  </si>
  <si>
    <t>Annexure-4</t>
  </si>
  <si>
    <t>Annexure-3</t>
  </si>
  <si>
    <t>MIS</t>
  </si>
  <si>
    <t>Reliance Total</t>
  </si>
  <si>
    <t>Rank</t>
  </si>
  <si>
    <t>Annexure-2</t>
  </si>
  <si>
    <t>% Market Share of BSNL</t>
  </si>
  <si>
    <t>Tele density License Areawise</t>
  </si>
  <si>
    <t>COAI</t>
  </si>
  <si>
    <t>Bharti Telenet License areawise</t>
  </si>
  <si>
    <t xml:space="preserve">Vodafone </t>
  </si>
  <si>
    <t>Difference with the highest</t>
  </si>
  <si>
    <t>% Difference with the highest</t>
  </si>
  <si>
    <t>Addition in Wired Telephone</t>
  </si>
  <si>
    <t>% Tele density</t>
  </si>
  <si>
    <t>% Market share of BSNL</t>
  </si>
  <si>
    <t>-</t>
  </si>
  <si>
    <t>WLL</t>
  </si>
  <si>
    <t xml:space="preserve">Reliance </t>
  </si>
  <si>
    <t>Annexure-7</t>
  </si>
  <si>
    <t>Uninor</t>
  </si>
  <si>
    <t>BSNL operational area</t>
  </si>
  <si>
    <t>% Share of BSNL in own operational area</t>
  </si>
  <si>
    <t>% Share of BSNL  All India</t>
  </si>
  <si>
    <t>GSM</t>
  </si>
  <si>
    <t>Wireless</t>
  </si>
  <si>
    <t>Telephone Connections (in Million)</t>
  </si>
  <si>
    <t>Wired Line</t>
  </si>
  <si>
    <t>Wiredline</t>
  </si>
  <si>
    <t>%age Telephone Market Share</t>
  </si>
  <si>
    <t>Vidiocon</t>
  </si>
  <si>
    <t>Vodafone</t>
  </si>
  <si>
    <t>Vediocon</t>
  </si>
  <si>
    <t xml:space="preserve">Working connection of Total operator as on </t>
  </si>
  <si>
    <t xml:space="preserve">Working connection of BSNL as on </t>
  </si>
  <si>
    <t>31.03.2010</t>
  </si>
  <si>
    <t>By All Operators</t>
  </si>
  <si>
    <t>By BSNL</t>
  </si>
  <si>
    <t>Wireleine</t>
  </si>
  <si>
    <t>%age contribution of BSNL in Telephone connection Achievement</t>
  </si>
  <si>
    <t>Annexure-8</t>
  </si>
  <si>
    <t>No. of DELs of BSNL</t>
  </si>
  <si>
    <t>Year</t>
  </si>
  <si>
    <t>Telephone Connections in the country             (in Million)</t>
  </si>
  <si>
    <t>Telephone Connections Provided by BSNL  (in Million)</t>
  </si>
  <si>
    <t>%age Telephone Market Share of BSNL</t>
  </si>
  <si>
    <t>Fixed (Wireline+WLL-F)</t>
  </si>
  <si>
    <t>Mobile (GSM+WLL-M)</t>
  </si>
  <si>
    <t>30.09.2000</t>
  </si>
  <si>
    <t>31.03.2001</t>
  </si>
  <si>
    <t>31.03.2002</t>
  </si>
  <si>
    <t>31.03.2003</t>
  </si>
  <si>
    <t>31.03.2004</t>
  </si>
  <si>
    <t>31.03.2005</t>
  </si>
  <si>
    <t>31.03.2006</t>
  </si>
  <si>
    <t>31.03.2007</t>
  </si>
  <si>
    <t>31.03.2008</t>
  </si>
  <si>
    <t>31.03.2009</t>
  </si>
  <si>
    <t>Annexure-9</t>
  </si>
  <si>
    <t>Month</t>
  </si>
  <si>
    <t>Connection Provided by BSNL (in lakh Nos.)</t>
  </si>
  <si>
    <t>Connection Provided by all Operators (in lakh Nos.)</t>
  </si>
  <si>
    <t>Wireline</t>
  </si>
  <si>
    <t>Annexure-10</t>
  </si>
  <si>
    <t>31.03.2011</t>
  </si>
  <si>
    <t>30.04.2011</t>
  </si>
  <si>
    <t>Sub:- Growth in Telecom Sector during last Eleven years</t>
  </si>
  <si>
    <t>Connection</t>
  </si>
  <si>
    <t>Population (000)</t>
  </si>
  <si>
    <t>Teledensity</t>
  </si>
  <si>
    <t>31.03.2012</t>
  </si>
  <si>
    <t>30.04.2012</t>
  </si>
  <si>
    <t>Conn. As on 31.03.2012</t>
  </si>
  <si>
    <t>Private Operators</t>
  </si>
  <si>
    <t>Loop Mobile</t>
  </si>
  <si>
    <t xml:space="preserve">Quadrant Televentures Ltd. </t>
  </si>
  <si>
    <t>Sistema Shyam</t>
  </si>
  <si>
    <t xml:space="preserve">Quadrant Televentures </t>
  </si>
  <si>
    <t xml:space="preserve">No. 1-2(1)/Market Share/2012-CP&amp;M </t>
  </si>
  <si>
    <t>Addition during 2012-13</t>
  </si>
  <si>
    <t>31.01.2013</t>
  </si>
  <si>
    <t>Note: As per TRAI report, M/s Etisalat, S. Tel and Loop (Except for Mumbai Circle) have submitted that there are no active subscribers on their network hence their figures have been taken as Zero.</t>
  </si>
  <si>
    <t>#</t>
  </si>
  <si>
    <t>(1)  West Bengal Telecom Circle Licensing Area includes A &amp; N Circle</t>
  </si>
  <si>
    <t>Note: #</t>
  </si>
  <si>
    <t>Vodaphone</t>
  </si>
  <si>
    <t>Tata</t>
  </si>
  <si>
    <t>Quadrant</t>
  </si>
  <si>
    <t>Name of Operators</t>
  </si>
  <si>
    <t>Wireless Subscribers</t>
  </si>
  <si>
    <t>VLR Subscribers</t>
  </si>
  <si>
    <t>% of Active subscribers</t>
  </si>
  <si>
    <t>Annexure-11</t>
  </si>
  <si>
    <t>(Figures in Million)</t>
  </si>
  <si>
    <t>Source: TRAI Report</t>
  </si>
  <si>
    <t>Vodafone*</t>
  </si>
  <si>
    <t>Note: %age market share is calculated only for those cases in which BSNL's figure and Industry figures are both positive.</t>
  </si>
  <si>
    <t>Annexure-2.</t>
  </si>
  <si>
    <t xml:space="preserve"> Annexure-3.</t>
  </si>
  <si>
    <t>Annexure-4.</t>
  </si>
  <si>
    <t>Annexure-5.</t>
  </si>
  <si>
    <t>Annexure-6.</t>
  </si>
  <si>
    <t>Annexure-7.</t>
  </si>
  <si>
    <t>Annexure-8.</t>
  </si>
  <si>
    <t>Annexure-9.</t>
  </si>
  <si>
    <t>Telephone connections &amp; Market share of BSNL during last eleven years</t>
  </si>
  <si>
    <t>Annexure-10.</t>
  </si>
  <si>
    <t>Annexure-11.</t>
  </si>
  <si>
    <t>INDEX</t>
  </si>
  <si>
    <t>Note:  *Vodafone Status is as on 30.11.2012</t>
  </si>
  <si>
    <t>Teledensity Circle wise for Urban, Rural areas and all operators as on 31.01.2013</t>
  </si>
  <si>
    <t>Total telephones operator wise and Market share as on 31.01.2013</t>
  </si>
  <si>
    <t>%age contribution of BSNL in Telephone connection Achievement during 2012-13 (upto 31.01.2013)</t>
  </si>
  <si>
    <r>
      <rPr>
        <sz val="7"/>
        <rFont val="Times New Roman"/>
        <family val="1"/>
      </rPr>
      <t xml:space="preserve"> </t>
    </r>
    <r>
      <rPr>
        <sz val="11.5"/>
        <rFont val="Arial"/>
        <family val="2"/>
      </rPr>
      <t>Total telephone connections operator wise and circle wise as on 31.01.2013</t>
    </r>
  </si>
  <si>
    <t>Wireless telephone connections operator wise and circle wise as on 31.01.2013</t>
  </si>
  <si>
    <t>Mobile telephone connections operator wise and circle wise as on 31.01.2013</t>
  </si>
  <si>
    <t>WLL telephone service operator wise and circle wise as on 31.01.2013</t>
  </si>
  <si>
    <t>Wireline telephone service operator wise and circle wise as on 31.01.2013</t>
  </si>
  <si>
    <t xml:space="preserve">Operator wise Proportion of VLR subscribers (Service Provider wise) as on 31.12.2012 </t>
  </si>
  <si>
    <t>Sub:- Tele-density Circlewise urban Rural Area &amp; All operators as on 31/01/2013.</t>
  </si>
  <si>
    <t>.</t>
  </si>
  <si>
    <t>Sub:- Total telephones connections operatorwise  &amp; Market Share as on 31.01.2013</t>
  </si>
  <si>
    <t>SUB: %age contribution of BSNL in Telephone connection Achievement during 2012-13 (upto 31.01.2013)</t>
  </si>
  <si>
    <t>Achievement during 2012-13 (upto 31.01.2013)</t>
  </si>
  <si>
    <t>Sub: Telephone connection Provided by BSNL &amp; All operators during 2011-12 and 2012-13 (upto 31.01.13)</t>
  </si>
  <si>
    <t>Sub:- Total telephones Operator &amp; Circlewise as on 31/01/2013.</t>
  </si>
  <si>
    <t>Conn. As on 31.12.2012</t>
  </si>
  <si>
    <t>Addition during Jan 2013</t>
  </si>
  <si>
    <t>Sub:- Wireless telephones Cellular Operator &amp; circle wise as on 31/01/2013</t>
  </si>
  <si>
    <t>Sub:- GSM Mobile telephones Service Operator &amp; circle wise as on 31/01/2013</t>
  </si>
  <si>
    <t>Sub:- CDMA WLL telephones Service Operator &amp; Circle wise as on 31/01/2013</t>
  </si>
  <si>
    <t>Sub:- Wire line telephones Service Operator &amp; Circle wise as on 31/01/2013</t>
  </si>
  <si>
    <t>Sub: Proportion of VLR subscribers (Service Provider wise) as on 31.12.2012</t>
  </si>
  <si>
    <t>Reliance.</t>
  </si>
  <si>
    <t>Population Jan. -2013 (in thousand)</t>
  </si>
  <si>
    <t>Population January -2013 (in thousand)</t>
  </si>
  <si>
    <t>Month wise telephone connection provided by BSNL &amp; All operators during 2011-12 and 2012-13 (upto January)</t>
  </si>
  <si>
    <t>Dated: 28th February 2013.</t>
  </si>
</sst>
</file>

<file path=xl/styles.xml><?xml version="1.0" encoding="utf-8"?>
<styleSheet xmlns="http://schemas.openxmlformats.org/spreadsheetml/2006/main">
  <numFmts count="4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000"/>
    <numFmt numFmtId="200" formatCode="#,##0;[Red]#,##0"/>
    <numFmt numFmtId="201" formatCode="0.0%"/>
  </numFmts>
  <fonts count="5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.5"/>
      <name val="Arial"/>
      <family val="2"/>
    </font>
    <font>
      <sz val="7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0" fontId="0" fillId="0" borderId="10" xfId="15" applyFont="1" applyBorder="1">
      <alignment/>
      <protection/>
    </xf>
    <xf numFmtId="0" fontId="2" fillId="0" borderId="0" xfId="15" applyFont="1">
      <alignment/>
      <protection/>
    </xf>
    <xf numFmtId="0" fontId="2" fillId="0" borderId="10" xfId="15" applyFont="1" applyBorder="1">
      <alignment/>
      <protection/>
    </xf>
    <xf numFmtId="0" fontId="2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33" borderId="10" xfId="15" applyFont="1" applyFill="1" applyBorder="1" applyAlignment="1">
      <alignment vertical="center" wrapText="1"/>
      <protection/>
    </xf>
    <xf numFmtId="0" fontId="3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>
      <alignment/>
      <protection/>
    </xf>
    <xf numFmtId="3" fontId="2" fillId="0" borderId="10" xfId="15" applyNumberFormat="1" applyFont="1" applyBorder="1" applyAlignment="1">
      <alignment horizontal="center" wrapText="1"/>
      <protection/>
    </xf>
    <xf numFmtId="3" fontId="2" fillId="0" borderId="10" xfId="15" applyNumberFormat="1" applyFont="1" applyBorder="1" applyAlignment="1">
      <alignment horizontal="center"/>
      <protection/>
    </xf>
    <xf numFmtId="3" fontId="2" fillId="0" borderId="10" xfId="15" applyNumberFormat="1" applyFont="1" applyBorder="1" quotePrefix="1">
      <alignment/>
      <protection/>
    </xf>
    <xf numFmtId="10" fontId="2" fillId="0" borderId="0" xfId="15" applyNumberFormat="1" applyFont="1">
      <alignment/>
      <protection/>
    </xf>
    <xf numFmtId="0" fontId="3" fillId="0" borderId="10" xfId="15" applyFont="1" applyBorder="1">
      <alignment/>
      <protection/>
    </xf>
    <xf numFmtId="0" fontId="3" fillId="0" borderId="0" xfId="15" applyFont="1">
      <alignment/>
      <protection/>
    </xf>
    <xf numFmtId="0" fontId="3" fillId="0" borderId="11" xfId="15" applyFont="1" applyBorder="1">
      <alignment/>
      <protection/>
    </xf>
    <xf numFmtId="0" fontId="3" fillId="0" borderId="10" xfId="15" applyFont="1" applyBorder="1" applyAlignment="1">
      <alignment wrapText="1"/>
      <protection/>
    </xf>
    <xf numFmtId="0" fontId="2" fillId="0" borderId="12" xfId="15" applyFont="1" applyBorder="1" applyAlignment="1">
      <alignment/>
      <protection/>
    </xf>
    <xf numFmtId="0" fontId="2" fillId="0" borderId="13" xfId="15" applyFont="1" applyBorder="1" applyAlignment="1">
      <alignment/>
      <protection/>
    </xf>
    <xf numFmtId="0" fontId="2" fillId="0" borderId="14" xfId="15" applyFont="1" applyBorder="1" applyAlignment="1">
      <alignment/>
      <protection/>
    </xf>
    <xf numFmtId="0" fontId="1" fillId="0" borderId="10" xfId="15" applyFont="1" applyBorder="1">
      <alignment/>
      <protection/>
    </xf>
    <xf numFmtId="3" fontId="4" fillId="0" borderId="10" xfId="15" applyNumberFormat="1" applyFont="1" applyBorder="1">
      <alignment/>
      <protection/>
    </xf>
    <xf numFmtId="3" fontId="4" fillId="33" borderId="1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2" fillId="0" borderId="10" xfId="15" applyNumberFormat="1" applyFont="1" applyBorder="1" applyAlignment="1">
      <alignment horizontal="right"/>
      <protection/>
    </xf>
    <xf numFmtId="0" fontId="4" fillId="0" borderId="0" xfId="15" applyFont="1">
      <alignment/>
      <protection/>
    </xf>
    <xf numFmtId="0" fontId="5" fillId="0" borderId="10" xfId="15" applyFont="1" applyBorder="1" applyAlignment="1">
      <alignment vertical="center" wrapText="1"/>
      <protection/>
    </xf>
    <xf numFmtId="0" fontId="4" fillId="0" borderId="10" xfId="15" applyFont="1" applyBorder="1">
      <alignment/>
      <protection/>
    </xf>
    <xf numFmtId="0" fontId="5" fillId="0" borderId="0" xfId="15" applyFont="1">
      <alignment/>
      <protection/>
    </xf>
    <xf numFmtId="3" fontId="2" fillId="34" borderId="10" xfId="15" applyNumberFormat="1" applyFont="1" applyFill="1" applyBorder="1">
      <alignment/>
      <protection/>
    </xf>
    <xf numFmtId="3" fontId="3" fillId="0" borderId="10" xfId="15" applyNumberFormat="1" applyFont="1" applyBorder="1">
      <alignment/>
      <protection/>
    </xf>
    <xf numFmtId="3" fontId="2" fillId="0" borderId="0" xfId="15" applyNumberFormat="1" applyFont="1" applyBorder="1">
      <alignment/>
      <protection/>
    </xf>
    <xf numFmtId="3" fontId="4" fillId="0" borderId="10" xfId="15" applyNumberFormat="1" applyFont="1" applyFill="1" applyBorder="1">
      <alignment/>
      <protection/>
    </xf>
    <xf numFmtId="0" fontId="4" fillId="0" borderId="0" xfId="15" applyFont="1" applyAlignment="1">
      <alignment horizontal="left"/>
      <protection/>
    </xf>
    <xf numFmtId="3" fontId="2" fillId="0" borderId="10" xfId="15" applyNumberFormat="1" applyFont="1" applyBorder="1" applyAlignment="1">
      <alignment horizontal="right" wrapText="1"/>
      <protection/>
    </xf>
    <xf numFmtId="3" fontId="2" fillId="0" borderId="10" xfId="15" applyNumberFormat="1" applyFont="1" applyBorder="1">
      <alignment/>
      <protection/>
    </xf>
    <xf numFmtId="0" fontId="1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 applyAlignment="1">
      <alignment horizontal="center" vertical="center"/>
      <protection/>
    </xf>
    <xf numFmtId="0" fontId="3" fillId="0" borderId="0" xfId="15" applyFont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/>
      <protection/>
    </xf>
    <xf numFmtId="0" fontId="2" fillId="0" borderId="0" xfId="15" applyFont="1" applyAlignment="1">
      <alignment vertical="center"/>
      <protection/>
    </xf>
    <xf numFmtId="3" fontId="2" fillId="0" borderId="0" xfId="15" applyNumberFormat="1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2" fontId="2" fillId="0" borderId="0" xfId="15" applyNumberFormat="1" applyFont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3" fontId="2" fillId="0" borderId="10" xfId="15" applyNumberFormat="1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top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4" xfId="15" applyFont="1" applyBorder="1" applyAlignment="1">
      <alignment vertical="center"/>
      <protection/>
    </xf>
    <xf numFmtId="0" fontId="3" fillId="0" borderId="0" xfId="15" applyFont="1" applyAlignment="1">
      <alignment horizontal="center"/>
      <protection/>
    </xf>
    <xf numFmtId="3" fontId="0" fillId="0" borderId="14" xfId="15" applyNumberFormat="1" applyFont="1" applyBorder="1">
      <alignment/>
      <protection/>
    </xf>
    <xf numFmtId="0" fontId="2" fillId="0" borderId="10" xfId="15" applyFont="1" applyBorder="1">
      <alignment/>
      <protection/>
    </xf>
    <xf numFmtId="10" fontId="2" fillId="0" borderId="10" xfId="15" applyNumberFormat="1" applyFont="1" applyBorder="1" applyAlignment="1">
      <alignment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/>
      <protection/>
    </xf>
    <xf numFmtId="3" fontId="2" fillId="33" borderId="10" xfId="15" applyNumberFormat="1" applyFont="1" applyFill="1" applyBorder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3" fontId="2" fillId="0" borderId="10" xfId="15" applyNumberFormat="1" applyFont="1" applyBorder="1" applyAlignment="1">
      <alignment horizont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0" fontId="2" fillId="0" borderId="0" xfId="15" applyFont="1">
      <alignment/>
      <protection/>
    </xf>
    <xf numFmtId="3" fontId="2" fillId="0" borderId="0" xfId="15" applyNumberFormat="1" applyFont="1">
      <alignment/>
      <protection/>
    </xf>
    <xf numFmtId="3" fontId="2" fillId="0" borderId="12" xfId="15" applyNumberFormat="1" applyFont="1" applyBorder="1" applyAlignment="1">
      <alignment horizontal="center" vertical="center"/>
      <protection/>
    </xf>
    <xf numFmtId="3" fontId="2" fillId="0" borderId="12" xfId="15" applyNumberFormat="1" applyFont="1" applyBorder="1" applyAlignment="1">
      <alignment horizontal="center"/>
      <protection/>
    </xf>
    <xf numFmtId="3" fontId="2" fillId="0" borderId="0" xfId="15" applyNumberFormat="1" applyFont="1" applyBorder="1">
      <alignment/>
      <protection/>
    </xf>
    <xf numFmtId="0" fontId="2" fillId="0" borderId="0" xfId="15" applyFont="1" applyAlignment="1">
      <alignment vertical="center"/>
      <protection/>
    </xf>
    <xf numFmtId="3" fontId="2" fillId="0" borderId="10" xfId="15" applyNumberFormat="1" applyFont="1" applyFill="1" applyBorder="1">
      <alignment/>
      <protection/>
    </xf>
    <xf numFmtId="3" fontId="2" fillId="0" borderId="10" xfId="15" applyNumberFormat="1" applyFont="1" applyFill="1" applyBorder="1" quotePrefix="1">
      <alignment/>
      <protection/>
    </xf>
    <xf numFmtId="10" fontId="0" fillId="0" borderId="0" xfId="15" applyNumberFormat="1" applyFont="1">
      <alignment/>
      <protection/>
    </xf>
    <xf numFmtId="1" fontId="0" fillId="0" borderId="0" xfId="15" applyNumberFormat="1" applyFont="1">
      <alignment/>
      <protection/>
    </xf>
    <xf numFmtId="3" fontId="4" fillId="0" borderId="0" xfId="15" applyNumberFormat="1" applyFont="1">
      <alignment/>
      <protection/>
    </xf>
    <xf numFmtId="0" fontId="2" fillId="0" borderId="10" xfId="15" applyFont="1" applyBorder="1" applyAlignment="1">
      <alignment horizontal="center" vertical="center"/>
      <protection/>
    </xf>
    <xf numFmtId="0" fontId="3" fillId="0" borderId="0" xfId="15" applyFo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10" xfId="15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5" applyNumberFormat="1" applyFont="1" applyFill="1">
      <alignment/>
      <protection/>
    </xf>
    <xf numFmtId="1" fontId="0" fillId="0" borderId="0" xfId="0" applyNumberFormat="1" applyAlignment="1">
      <alignment/>
    </xf>
    <xf numFmtId="3" fontId="3" fillId="0" borderId="10" xfId="15" applyNumberFormat="1" applyFont="1" applyBorder="1">
      <alignment/>
      <protection/>
    </xf>
    <xf numFmtId="0" fontId="2" fillId="33" borderId="10" xfId="15" applyFont="1" applyFill="1" applyBorder="1" applyAlignment="1">
      <alignment horizontal="center" vertical="center" wrapText="1"/>
      <protection/>
    </xf>
    <xf numFmtId="3" fontId="2" fillId="0" borderId="10" xfId="15" applyNumberFormat="1" applyFont="1" applyFill="1" applyBorder="1" applyAlignment="1">
      <alignment horizontal="center" vertical="center"/>
      <protection/>
    </xf>
    <xf numFmtId="3" fontId="2" fillId="34" borderId="10" xfId="15" applyNumberFormat="1" applyFont="1" applyFill="1" applyBorder="1" applyAlignment="1">
      <alignment horizontal="center" vertical="center"/>
      <protection/>
    </xf>
    <xf numFmtId="3" fontId="2" fillId="0" borderId="0" xfId="15" applyNumberFormat="1" applyFont="1" applyAlignment="1">
      <alignment horizontal="center" vertical="center"/>
      <protection/>
    </xf>
    <xf numFmtId="10" fontId="2" fillId="0" borderId="10" xfId="15" applyNumberFormat="1" applyFont="1" applyBorder="1">
      <alignment/>
      <protection/>
    </xf>
    <xf numFmtId="0" fontId="2" fillId="0" borderId="0" xfId="15" applyFont="1" applyAlignment="1">
      <alignment horizontal="center"/>
      <protection/>
    </xf>
    <xf numFmtId="10" fontId="3" fillId="0" borderId="10" xfId="15" applyNumberFormat="1" applyFont="1" applyBorder="1" applyAlignment="1">
      <alignment/>
      <protection/>
    </xf>
    <xf numFmtId="2" fontId="0" fillId="0" borderId="0" xfId="0" applyNumberFormat="1" applyAlignment="1">
      <alignment/>
    </xf>
    <xf numFmtId="3" fontId="3" fillId="0" borderId="10" xfId="15" applyNumberFormat="1" applyFont="1" applyFill="1" applyBorder="1">
      <alignment/>
      <protection/>
    </xf>
    <xf numFmtId="3" fontId="3" fillId="34" borderId="10" xfId="15" applyNumberFormat="1" applyFont="1" applyFill="1" applyBorder="1">
      <alignment/>
      <protection/>
    </xf>
    <xf numFmtId="0" fontId="0" fillId="0" borderId="10" xfId="0" applyBorder="1" applyAlignment="1">
      <alignment/>
    </xf>
    <xf numFmtId="3" fontId="2" fillId="0" borderId="10" xfId="15" applyNumberFormat="1" applyFont="1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2" fillId="0" borderId="13" xfId="15" applyFont="1" applyFill="1" applyBorder="1" applyAlignment="1">
      <alignment/>
      <protection/>
    </xf>
    <xf numFmtId="3" fontId="2" fillId="34" borderId="0" xfId="15" applyNumberFormat="1" applyFont="1" applyFill="1">
      <alignment/>
      <protection/>
    </xf>
    <xf numFmtId="0" fontId="2" fillId="0" borderId="0" xfId="15" applyFont="1" applyBorder="1">
      <alignment/>
      <protection/>
    </xf>
    <xf numFmtId="10" fontId="5" fillId="0" borderId="0" xfId="15" applyNumberFormat="1" applyFont="1" applyBorder="1" applyAlignment="1">
      <alignment horizontal="center"/>
      <protection/>
    </xf>
    <xf numFmtId="3" fontId="4" fillId="0" borderId="14" xfId="15" applyNumberFormat="1" applyFont="1" applyBorder="1">
      <alignment/>
      <protection/>
    </xf>
    <xf numFmtId="0" fontId="3" fillId="33" borderId="10" xfId="15" applyFont="1" applyFill="1" applyBorder="1" applyAlignment="1">
      <alignment horizontal="center" vertical="center" wrapText="1"/>
      <protection/>
    </xf>
    <xf numFmtId="9" fontId="2" fillId="0" borderId="10" xfId="15" applyNumberFormat="1" applyFont="1" applyBorder="1">
      <alignment/>
      <protection/>
    </xf>
    <xf numFmtId="3" fontId="0" fillId="0" borderId="10" xfId="0" applyNumberFormat="1" applyBorder="1" applyAlignment="1">
      <alignment/>
    </xf>
    <xf numFmtId="0" fontId="2" fillId="0" borderId="12" xfId="15" applyFont="1" applyBorder="1">
      <alignment/>
      <protection/>
    </xf>
    <xf numFmtId="0" fontId="2" fillId="0" borderId="14" xfId="15" applyFont="1" applyBorder="1">
      <alignment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15" applyFont="1" applyBorder="1">
      <alignment/>
      <protection/>
    </xf>
    <xf numFmtId="0" fontId="2" fillId="0" borderId="15" xfId="15" applyFont="1" applyBorder="1">
      <alignment/>
      <protection/>
    </xf>
    <xf numFmtId="10" fontId="2" fillId="0" borderId="11" xfId="15" applyNumberFormat="1" applyFont="1" applyBorder="1">
      <alignment/>
      <protection/>
    </xf>
    <xf numFmtId="10" fontId="2" fillId="0" borderId="0" xfId="15" applyNumberFormat="1" applyFont="1" applyBorder="1">
      <alignment/>
      <protection/>
    </xf>
    <xf numFmtId="0" fontId="2" fillId="0" borderId="16" xfId="15" applyFont="1" applyBorder="1" applyAlignment="1">
      <alignment wrapText="1"/>
      <protection/>
    </xf>
    <xf numFmtId="0" fontId="2" fillId="0" borderId="17" xfId="15" applyFont="1" applyBorder="1" applyAlignment="1">
      <alignment wrapText="1"/>
      <protection/>
    </xf>
    <xf numFmtId="0" fontId="2" fillId="0" borderId="0" xfId="15" applyFont="1" applyBorder="1" applyAlignment="1">
      <alignment wrapText="1"/>
      <protection/>
    </xf>
    <xf numFmtId="0" fontId="2" fillId="0" borderId="10" xfId="15" applyFont="1" applyBorder="1" applyAlignment="1">
      <alignment horizontal="center" wrapText="1"/>
      <protection/>
    </xf>
    <xf numFmtId="10" fontId="0" fillId="0" borderId="0" xfId="15" applyNumberFormat="1" applyFont="1" applyBorder="1">
      <alignment/>
      <protection/>
    </xf>
    <xf numFmtId="3" fontId="0" fillId="0" borderId="18" xfId="15" applyNumberFormat="1" applyFont="1" applyBorder="1">
      <alignment/>
      <protection/>
    </xf>
    <xf numFmtId="3" fontId="0" fillId="0" borderId="19" xfId="15" applyNumberFormat="1" applyFont="1" applyBorder="1">
      <alignment/>
      <protection/>
    </xf>
    <xf numFmtId="0" fontId="0" fillId="0" borderId="20" xfId="0" applyBorder="1" applyAlignment="1">
      <alignment/>
    </xf>
    <xf numFmtId="0" fontId="2" fillId="0" borderId="21" xfId="15" applyFont="1" applyBorder="1">
      <alignment/>
      <protection/>
    </xf>
    <xf numFmtId="0" fontId="0" fillId="0" borderId="22" xfId="0" applyBorder="1" applyAlignment="1">
      <alignment/>
    </xf>
    <xf numFmtId="0" fontId="2" fillId="0" borderId="23" xfId="15" applyFont="1" applyBorder="1">
      <alignment/>
      <protection/>
    </xf>
    <xf numFmtId="0" fontId="2" fillId="0" borderId="24" xfId="15" applyFont="1" applyBorder="1">
      <alignment/>
      <protection/>
    </xf>
    <xf numFmtId="0" fontId="2" fillId="0" borderId="22" xfId="15" applyFont="1" applyBorder="1">
      <alignment/>
      <protection/>
    </xf>
    <xf numFmtId="0" fontId="4" fillId="0" borderId="25" xfId="15" applyFont="1" applyBorder="1">
      <alignment/>
      <protection/>
    </xf>
    <xf numFmtId="3" fontId="0" fillId="0" borderId="26" xfId="15" applyNumberFormat="1" applyFont="1" applyBorder="1">
      <alignment/>
      <protection/>
    </xf>
    <xf numFmtId="3" fontId="0" fillId="0" borderId="2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2" fillId="0" borderId="28" xfId="15" applyFont="1" applyBorder="1" applyAlignment="1">
      <alignment horizontal="center"/>
      <protection/>
    </xf>
    <xf numFmtId="0" fontId="2" fillId="0" borderId="29" xfId="15" applyFont="1" applyBorder="1" applyAlignment="1">
      <alignment horizontal="center"/>
      <protection/>
    </xf>
    <xf numFmtId="0" fontId="2" fillId="0" borderId="28" xfId="0" applyFont="1" applyBorder="1" applyAlignment="1">
      <alignment horizontal="center"/>
    </xf>
    <xf numFmtId="3" fontId="0" fillId="0" borderId="0" xfId="15" applyNumberFormat="1" applyFont="1">
      <alignment/>
      <protection/>
    </xf>
    <xf numFmtId="0" fontId="5" fillId="0" borderId="0" xfId="15" applyFont="1" applyBorder="1" applyAlignment="1">
      <alignment vertical="center"/>
      <protection/>
    </xf>
    <xf numFmtId="2" fontId="2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>
      <alignment/>
      <protection/>
    </xf>
    <xf numFmtId="2" fontId="2" fillId="0" borderId="0" xfId="15" applyNumberFormat="1" applyFont="1" applyBorder="1">
      <alignment/>
      <protection/>
    </xf>
    <xf numFmtId="2" fontId="4" fillId="0" borderId="14" xfId="15" applyNumberFormat="1" applyFont="1" applyBorder="1" applyAlignment="1">
      <alignment horizontal="center"/>
      <protection/>
    </xf>
    <xf numFmtId="2" fontId="0" fillId="0" borderId="14" xfId="15" applyNumberFormat="1" applyFont="1" applyBorder="1" applyAlignment="1">
      <alignment horizontal="center"/>
      <protection/>
    </xf>
    <xf numFmtId="2" fontId="2" fillId="0" borderId="11" xfId="15" applyNumberFormat="1" applyFont="1" applyBorder="1">
      <alignment/>
      <protection/>
    </xf>
    <xf numFmtId="2" fontId="1" fillId="0" borderId="10" xfId="15" applyNumberFormat="1" applyFont="1" applyBorder="1" applyAlignment="1">
      <alignment horizontal="center"/>
      <protection/>
    </xf>
    <xf numFmtId="2" fontId="3" fillId="0" borderId="10" xfId="15" applyNumberFormat="1" applyFont="1" applyBorder="1">
      <alignment/>
      <protection/>
    </xf>
    <xf numFmtId="2" fontId="3" fillId="0" borderId="10" xfId="15" applyNumberFormat="1" applyFont="1" applyBorder="1">
      <alignment/>
      <protection/>
    </xf>
    <xf numFmtId="2" fontId="3" fillId="0" borderId="30" xfId="15" applyNumberFormat="1" applyFont="1" applyBorder="1" applyAlignment="1">
      <alignment horizontal="center"/>
      <protection/>
    </xf>
    <xf numFmtId="2" fontId="0" fillId="0" borderId="10" xfId="15" applyNumberFormat="1" applyFont="1" applyBorder="1">
      <alignment/>
      <protection/>
    </xf>
    <xf numFmtId="2" fontId="5" fillId="0" borderId="10" xfId="15" applyNumberFormat="1" applyFont="1" applyBorder="1" applyAlignment="1">
      <alignment horizontal="center"/>
      <protection/>
    </xf>
    <xf numFmtId="2" fontId="4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>
      <alignment/>
      <protection/>
    </xf>
    <xf numFmtId="2" fontId="3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 quotePrefix="1">
      <alignment horizontal="center"/>
      <protection/>
    </xf>
    <xf numFmtId="4" fontId="3" fillId="0" borderId="10" xfId="15" applyNumberFormat="1" applyFont="1" applyBorder="1">
      <alignment/>
      <protection/>
    </xf>
    <xf numFmtId="4" fontId="0" fillId="0" borderId="0" xfId="0" applyNumberFormat="1" applyAlignment="1">
      <alignment/>
    </xf>
    <xf numFmtId="2" fontId="2" fillId="0" borderId="0" xfId="15" applyNumberFormat="1" applyFont="1">
      <alignment/>
      <protection/>
    </xf>
    <xf numFmtId="3" fontId="2" fillId="0" borderId="0" xfId="15" applyNumberFormat="1" applyFont="1" applyFill="1">
      <alignment/>
      <protection/>
    </xf>
    <xf numFmtId="2" fontId="4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>
      <alignment/>
      <protection/>
    </xf>
    <xf numFmtId="0" fontId="4" fillId="0" borderId="0" xfId="15" applyFont="1" applyBorder="1">
      <alignment/>
      <protection/>
    </xf>
    <xf numFmtId="0" fontId="0" fillId="0" borderId="0" xfId="0" applyFont="1" applyAlignment="1">
      <alignment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/>
      <protection/>
    </xf>
    <xf numFmtId="0" fontId="1" fillId="0" borderId="10" xfId="15" applyFont="1" applyBorder="1" applyAlignment="1">
      <alignment vertical="center"/>
      <protection/>
    </xf>
    <xf numFmtId="0" fontId="0" fillId="0" borderId="10" xfId="15" applyFont="1" applyBorder="1" applyAlignment="1">
      <alignment vertical="center"/>
      <protection/>
    </xf>
    <xf numFmtId="0" fontId="2" fillId="0" borderId="32" xfId="15" applyFont="1" applyBorder="1">
      <alignment/>
      <protection/>
    </xf>
    <xf numFmtId="0" fontId="4" fillId="0" borderId="33" xfId="15" applyFont="1" applyBorder="1">
      <alignment/>
      <protection/>
    </xf>
    <xf numFmtId="0" fontId="2" fillId="0" borderId="31" xfId="15" applyFont="1" applyBorder="1" applyAlignment="1">
      <alignment horizontal="center"/>
      <protection/>
    </xf>
    <xf numFmtId="3" fontId="0" fillId="0" borderId="34" xfId="15" applyNumberFormat="1" applyFont="1" applyBorder="1">
      <alignment/>
      <protection/>
    </xf>
    <xf numFmtId="3" fontId="0" fillId="0" borderId="35" xfId="15" applyNumberFormat="1" applyFont="1" applyBorder="1">
      <alignment/>
      <protection/>
    </xf>
    <xf numFmtId="0" fontId="0" fillId="0" borderId="35" xfId="0" applyBorder="1" applyAlignment="1">
      <alignment/>
    </xf>
    <xf numFmtId="2" fontId="3" fillId="0" borderId="36" xfId="15" applyNumberFormat="1" applyFont="1" applyBorder="1" applyAlignment="1">
      <alignment horizontal="center"/>
      <protection/>
    </xf>
    <xf numFmtId="0" fontId="3" fillId="0" borderId="10" xfId="15" applyFont="1" applyBorder="1">
      <alignment/>
      <protection/>
    </xf>
    <xf numFmtId="2" fontId="5" fillId="0" borderId="0" xfId="15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1" fillId="0" borderId="11" xfId="15" applyFont="1" applyBorder="1" applyAlignment="1">
      <alignment vertical="center"/>
      <protection/>
    </xf>
    <xf numFmtId="2" fontId="5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 applyAlignment="1">
      <alignment horizontal="center"/>
      <protection/>
    </xf>
    <xf numFmtId="4" fontId="4" fillId="0" borderId="10" xfId="15" applyNumberFormat="1" applyFont="1" applyBorder="1" applyAlignment="1">
      <alignment horizontal="center"/>
      <protection/>
    </xf>
    <xf numFmtId="4" fontId="5" fillId="0" borderId="10" xfId="15" applyNumberFormat="1" applyFont="1" applyBorder="1" applyAlignment="1">
      <alignment horizontal="center"/>
      <protection/>
    </xf>
    <xf numFmtId="0" fontId="5" fillId="0" borderId="10" xfId="15" applyFont="1" applyBorder="1" applyAlignment="1">
      <alignment horizontal="center" vertical="center" wrapText="1"/>
      <protection/>
    </xf>
    <xf numFmtId="3" fontId="4" fillId="0" borderId="10" xfId="15" applyNumberFormat="1" applyFont="1" applyBorder="1" applyAlignment="1">
      <alignment horizontal="center"/>
      <protection/>
    </xf>
    <xf numFmtId="0" fontId="4" fillId="0" borderId="10" xfId="15" applyFont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31" xfId="15" applyFont="1" applyBorder="1">
      <alignment/>
      <protection/>
    </xf>
    <xf numFmtId="0" fontId="4" fillId="0" borderId="31" xfId="15" applyFont="1" applyBorder="1">
      <alignment/>
      <protection/>
    </xf>
    <xf numFmtId="4" fontId="5" fillId="0" borderId="31" xfId="15" applyNumberFormat="1" applyFont="1" applyBorder="1" applyAlignment="1">
      <alignment horizontal="center"/>
      <protection/>
    </xf>
    <xf numFmtId="4" fontId="5" fillId="0" borderId="37" xfId="15" applyNumberFormat="1" applyFont="1" applyBorder="1" applyAlignment="1">
      <alignment horizontal="center"/>
      <protection/>
    </xf>
    <xf numFmtId="4" fontId="5" fillId="0" borderId="38" xfId="15" applyNumberFormat="1" applyFont="1" applyBorder="1" applyAlignment="1">
      <alignment horizontal="center"/>
      <protection/>
    </xf>
    <xf numFmtId="4" fontId="4" fillId="0" borderId="37" xfId="15" applyNumberFormat="1" applyFont="1" applyBorder="1" applyAlignment="1">
      <alignment horizontal="center"/>
      <protection/>
    </xf>
    <xf numFmtId="4" fontId="4" fillId="0" borderId="38" xfId="15" applyNumberFormat="1" applyFont="1" applyBorder="1" applyAlignment="1">
      <alignment horizontal="center"/>
      <protection/>
    </xf>
    <xf numFmtId="4" fontId="5" fillId="0" borderId="39" xfId="15" applyNumberFormat="1" applyFont="1" applyBorder="1" applyAlignment="1">
      <alignment horizontal="center"/>
      <protection/>
    </xf>
    <xf numFmtId="0" fontId="4" fillId="0" borderId="37" xfId="15" applyFont="1" applyBorder="1" applyAlignment="1">
      <alignment horizontal="center"/>
      <protection/>
    </xf>
    <xf numFmtId="0" fontId="4" fillId="0" borderId="38" xfId="15" applyFont="1" applyBorder="1">
      <alignment/>
      <protection/>
    </xf>
    <xf numFmtId="0" fontId="4" fillId="0" borderId="39" xfId="15" applyFont="1" applyBorder="1">
      <alignment/>
      <protection/>
    </xf>
    <xf numFmtId="0" fontId="5" fillId="0" borderId="40" xfId="15" applyFont="1" applyBorder="1">
      <alignment/>
      <protection/>
    </xf>
    <xf numFmtId="2" fontId="5" fillId="0" borderId="37" xfId="15" applyNumberFormat="1" applyFont="1" applyBorder="1" applyAlignment="1">
      <alignment horizontal="center"/>
      <protection/>
    </xf>
    <xf numFmtId="2" fontId="4" fillId="0" borderId="38" xfId="15" applyNumberFormat="1" applyFont="1" applyBorder="1" applyAlignment="1">
      <alignment horizontal="center"/>
      <protection/>
    </xf>
    <xf numFmtId="2" fontId="5" fillId="0" borderId="38" xfId="15" applyNumberFormat="1" applyFont="1" applyBorder="1" applyAlignment="1">
      <alignment horizontal="center"/>
      <protection/>
    </xf>
    <xf numFmtId="2" fontId="4" fillId="0" borderId="37" xfId="15" applyNumberFormat="1" applyFont="1" applyBorder="1" applyAlignment="1">
      <alignment horizontal="center"/>
      <protection/>
    </xf>
    <xf numFmtId="2" fontId="5" fillId="0" borderId="39" xfId="15" applyNumberFormat="1" applyFont="1" applyBorder="1" applyAlignment="1">
      <alignment horizontal="center"/>
      <protection/>
    </xf>
    <xf numFmtId="2" fontId="5" fillId="0" borderId="29" xfId="15" applyNumberFormat="1" applyFont="1" applyBorder="1" applyAlignment="1">
      <alignment horizontal="center"/>
      <protection/>
    </xf>
    <xf numFmtId="2" fontId="5" fillId="0" borderId="40" xfId="15" applyNumberFormat="1" applyFont="1" applyBorder="1" applyAlignment="1">
      <alignment horizontal="center"/>
      <protection/>
    </xf>
    <xf numFmtId="3" fontId="2" fillId="0" borderId="10" xfId="15" applyNumberFormat="1" applyFont="1" applyFill="1" applyBorder="1" applyAlignment="1">
      <alignment horizontal="center" wrapText="1"/>
      <protection/>
    </xf>
    <xf numFmtId="3" fontId="3" fillId="0" borderId="10" xfId="15" applyNumberFormat="1" applyFont="1" applyBorder="1" applyAlignment="1">
      <alignment horizontal="center"/>
      <protection/>
    </xf>
    <xf numFmtId="4" fontId="4" fillId="0" borderId="0" xfId="15" applyNumberFormat="1" applyFont="1">
      <alignment/>
      <protection/>
    </xf>
    <xf numFmtId="0" fontId="4" fillId="0" borderId="41" xfId="15" applyFont="1" applyBorder="1" applyAlignment="1">
      <alignment horizontal="center"/>
      <protection/>
    </xf>
    <xf numFmtId="0" fontId="4" fillId="0" borderId="42" xfId="15" applyFont="1" applyBorder="1">
      <alignment/>
      <protection/>
    </xf>
    <xf numFmtId="4" fontId="4" fillId="0" borderId="41" xfId="15" applyNumberFormat="1" applyFont="1" applyBorder="1" applyAlignment="1">
      <alignment horizontal="center"/>
      <protection/>
    </xf>
    <xf numFmtId="2" fontId="4" fillId="0" borderId="41" xfId="15" applyNumberFormat="1" applyFont="1" applyBorder="1" applyAlignment="1">
      <alignment horizontal="center"/>
      <protection/>
    </xf>
    <xf numFmtId="2" fontId="4" fillId="0" borderId="11" xfId="15" applyNumberFormat="1" applyFont="1" applyBorder="1" applyAlignment="1">
      <alignment horizontal="center"/>
      <protection/>
    </xf>
    <xf numFmtId="1" fontId="4" fillId="0" borderId="0" xfId="15" applyNumberFormat="1" applyFont="1">
      <alignment/>
      <protection/>
    </xf>
    <xf numFmtId="3" fontId="4" fillId="0" borderId="17" xfId="15" applyNumberFormat="1" applyFont="1" applyBorder="1" applyAlignment="1">
      <alignment horizontal="center"/>
      <protection/>
    </xf>
    <xf numFmtId="4" fontId="4" fillId="0" borderId="17" xfId="15" applyNumberFormat="1" applyFont="1" applyBorder="1" applyAlignment="1">
      <alignment horizontal="center"/>
      <protection/>
    </xf>
    <xf numFmtId="3" fontId="2" fillId="0" borderId="10" xfId="15" applyNumberFormat="1" applyFont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0" fontId="2" fillId="0" borderId="37" xfId="15" applyFont="1" applyBorder="1" applyAlignment="1">
      <alignment horizontal="center" vertical="center" wrapText="1"/>
      <protection/>
    </xf>
    <xf numFmtId="0" fontId="2" fillId="33" borderId="38" xfId="15" applyFont="1" applyFill="1" applyBorder="1" applyAlignment="1">
      <alignment vertical="center" wrapText="1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46" xfId="15" applyFont="1" applyBorder="1" applyAlignment="1">
      <alignment horizontal="center" vertical="center" wrapText="1"/>
      <protection/>
    </xf>
    <xf numFmtId="0" fontId="2" fillId="33" borderId="47" xfId="15" applyFont="1" applyFill="1" applyBorder="1" applyAlignment="1">
      <alignment vertical="center" wrapText="1"/>
      <protection/>
    </xf>
    <xf numFmtId="4" fontId="1" fillId="0" borderId="39" xfId="0" applyNumberFormat="1" applyFont="1" applyBorder="1" applyAlignment="1">
      <alignment horizontal="center"/>
    </xf>
    <xf numFmtId="0" fontId="4" fillId="33" borderId="37" xfId="15" applyFont="1" applyFill="1" applyBorder="1" applyAlignment="1">
      <alignment horizontal="center"/>
      <protection/>
    </xf>
    <xf numFmtId="0" fontId="4" fillId="33" borderId="38" xfId="15" applyFont="1" applyFill="1" applyBorder="1">
      <alignment/>
      <protection/>
    </xf>
    <xf numFmtId="4" fontId="4" fillId="33" borderId="37" xfId="15" applyNumberFormat="1" applyFont="1" applyFill="1" applyBorder="1" applyAlignment="1">
      <alignment horizontal="center"/>
      <protection/>
    </xf>
    <xf numFmtId="4" fontId="4" fillId="33" borderId="10" xfId="15" applyNumberFormat="1" applyFont="1" applyFill="1" applyBorder="1" applyAlignment="1">
      <alignment horizontal="center"/>
      <protection/>
    </xf>
    <xf numFmtId="4" fontId="4" fillId="33" borderId="38" xfId="15" applyNumberFormat="1" applyFont="1" applyFill="1" applyBorder="1" applyAlignment="1">
      <alignment horizontal="center"/>
      <protection/>
    </xf>
    <xf numFmtId="2" fontId="4" fillId="33" borderId="37" xfId="15" applyNumberFormat="1" applyFont="1" applyFill="1" applyBorder="1" applyAlignment="1">
      <alignment horizontal="center"/>
      <protection/>
    </xf>
    <xf numFmtId="2" fontId="4" fillId="33" borderId="10" xfId="15" applyNumberFormat="1" applyFont="1" applyFill="1" applyBorder="1" applyAlignment="1">
      <alignment horizontal="center"/>
      <protection/>
    </xf>
    <xf numFmtId="2" fontId="4" fillId="33" borderId="38" xfId="15" applyNumberFormat="1" applyFont="1" applyFill="1" applyBorder="1" applyAlignment="1">
      <alignment horizontal="center"/>
      <protection/>
    </xf>
    <xf numFmtId="0" fontId="4" fillId="33" borderId="0" xfId="15" applyFont="1" applyFill="1">
      <alignment/>
      <protection/>
    </xf>
    <xf numFmtId="3" fontId="4" fillId="33" borderId="0" xfId="15" applyNumberFormat="1" applyFont="1" applyFill="1">
      <alignment/>
      <protection/>
    </xf>
    <xf numFmtId="2" fontId="4" fillId="33" borderId="0" xfId="15" applyNumberFormat="1" applyFont="1" applyFill="1" applyAlignment="1">
      <alignment horizontal="center"/>
      <protection/>
    </xf>
    <xf numFmtId="4" fontId="2" fillId="0" borderId="0" xfId="15" applyNumberFormat="1" applyFont="1" applyAlignment="1">
      <alignment vertical="center"/>
      <protection/>
    </xf>
    <xf numFmtId="0" fontId="4" fillId="0" borderId="39" xfId="15" applyFont="1" applyBorder="1" applyAlignment="1">
      <alignment horizontal="center" vertical="center"/>
      <protection/>
    </xf>
    <xf numFmtId="0" fontId="4" fillId="0" borderId="40" xfId="15" applyFont="1" applyBorder="1" applyAlignment="1">
      <alignment vertical="center"/>
      <protection/>
    </xf>
    <xf numFmtId="4" fontId="4" fillId="0" borderId="40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48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vertical="center"/>
      <protection/>
    </xf>
    <xf numFmtId="3" fontId="4" fillId="0" borderId="0" xfId="15" applyNumberFormat="1" applyFont="1" applyAlignment="1">
      <alignment vertical="center"/>
      <protection/>
    </xf>
    <xf numFmtId="2" fontId="4" fillId="0" borderId="0" xfId="15" applyNumberFormat="1" applyFont="1" applyAlignment="1">
      <alignment horizontal="center" vertical="center"/>
      <protection/>
    </xf>
    <xf numFmtId="0" fontId="4" fillId="0" borderId="37" xfId="15" applyFont="1" applyBorder="1" applyAlignment="1">
      <alignment horizontal="center" vertical="center"/>
      <protection/>
    </xf>
    <xf numFmtId="0" fontId="4" fillId="0" borderId="38" xfId="15" applyFont="1" applyBorder="1" applyAlignment="1">
      <alignment vertical="center"/>
      <protection/>
    </xf>
    <xf numFmtId="4" fontId="4" fillId="0" borderId="37" xfId="15" applyNumberFormat="1" applyFont="1" applyBorder="1" applyAlignment="1">
      <alignment horizontal="center" vertical="center"/>
      <protection/>
    </xf>
    <xf numFmtId="4" fontId="4" fillId="0" borderId="10" xfId="15" applyNumberFormat="1" applyFont="1" applyBorder="1" applyAlignment="1">
      <alignment horizontal="center" vertical="center"/>
      <protection/>
    </xf>
    <xf numFmtId="4" fontId="4" fillId="0" borderId="38" xfId="15" applyNumberFormat="1" applyFont="1" applyBorder="1" applyAlignment="1">
      <alignment horizontal="center" vertical="center"/>
      <protection/>
    </xf>
    <xf numFmtId="2" fontId="4" fillId="0" borderId="37" xfId="15" applyNumberFormat="1" applyFont="1" applyBorder="1" applyAlignment="1">
      <alignment horizontal="center" vertical="center"/>
      <protection/>
    </xf>
    <xf numFmtId="2" fontId="4" fillId="0" borderId="14" xfId="15" applyNumberFormat="1" applyFont="1" applyBorder="1" applyAlignment="1">
      <alignment horizontal="center" vertical="center"/>
      <protection/>
    </xf>
    <xf numFmtId="2" fontId="4" fillId="0" borderId="49" xfId="15" applyNumberFormat="1" applyFont="1" applyBorder="1" applyAlignment="1">
      <alignment horizontal="center" vertical="center"/>
      <protection/>
    </xf>
    <xf numFmtId="4" fontId="4" fillId="0" borderId="37" xfId="15" applyNumberFormat="1" applyFont="1" applyFill="1" applyBorder="1" applyAlignment="1">
      <alignment horizontal="center" vertical="center"/>
      <protection/>
    </xf>
    <xf numFmtId="0" fontId="4" fillId="0" borderId="41" xfId="15" applyFont="1" applyBorder="1" applyAlignment="1">
      <alignment horizontal="center" vertical="center"/>
      <protection/>
    </xf>
    <xf numFmtId="0" fontId="4" fillId="0" borderId="42" xfId="15" applyFont="1" applyBorder="1" applyAlignment="1">
      <alignment vertical="center"/>
      <protection/>
    </xf>
    <xf numFmtId="4" fontId="4" fillId="0" borderId="41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4" fontId="4" fillId="0" borderId="11" xfId="15" applyNumberFormat="1" applyFont="1" applyBorder="1" applyAlignment="1">
      <alignment horizontal="center" vertical="center"/>
      <protection/>
    </xf>
    <xf numFmtId="4" fontId="4" fillId="0" borderId="42" xfId="15" applyNumberFormat="1" applyFont="1" applyBorder="1" applyAlignment="1">
      <alignment horizontal="center" vertical="center"/>
      <protection/>
    </xf>
    <xf numFmtId="2" fontId="4" fillId="0" borderId="41" xfId="15" applyNumberFormat="1" applyFont="1" applyBorder="1" applyAlignment="1">
      <alignment horizontal="center" vertical="center"/>
      <protection/>
    </xf>
    <xf numFmtId="2" fontId="4" fillId="0" borderId="17" xfId="15" applyNumberFormat="1" applyFont="1" applyBorder="1" applyAlignment="1">
      <alignment horizontal="center" vertical="center"/>
      <protection/>
    </xf>
    <xf numFmtId="2" fontId="4" fillId="0" borderId="50" xfId="15" applyNumberFormat="1" applyFont="1" applyBorder="1" applyAlignment="1">
      <alignment horizontal="center" vertical="center"/>
      <protection/>
    </xf>
    <xf numFmtId="4" fontId="4" fillId="0" borderId="29" xfId="15" applyNumberFormat="1" applyFont="1" applyBorder="1" applyAlignment="1">
      <alignment horizontal="center" vertical="center"/>
      <protection/>
    </xf>
    <xf numFmtId="2" fontId="4" fillId="0" borderId="39" xfId="15" applyNumberFormat="1" applyFont="1" applyBorder="1" applyAlignment="1">
      <alignment horizontal="center" vertical="center"/>
      <protection/>
    </xf>
    <xf numFmtId="0" fontId="4" fillId="0" borderId="40" xfId="15" applyFont="1" applyBorder="1" applyAlignment="1">
      <alignment horizontal="left" vertical="center"/>
      <protection/>
    </xf>
    <xf numFmtId="2" fontId="4" fillId="0" borderId="29" xfId="15" applyNumberFormat="1" applyFont="1" applyBorder="1" applyAlignment="1">
      <alignment horizontal="center" vertical="center"/>
      <protection/>
    </xf>
    <xf numFmtId="3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vertical="top" wrapText="1"/>
    </xf>
    <xf numFmtId="4" fontId="0" fillId="0" borderId="0" xfId="15" applyNumberFormat="1" applyFont="1" applyFill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12" fillId="0" borderId="4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0" xfId="15" applyNumberFormat="1" applyFont="1">
      <alignment/>
      <protection/>
    </xf>
    <xf numFmtId="0" fontId="2" fillId="0" borderId="14" xfId="15" applyFont="1" applyBorder="1" applyAlignment="1">
      <alignment horizontal="center"/>
      <protection/>
    </xf>
    <xf numFmtId="4" fontId="4" fillId="0" borderId="17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3" fontId="2" fillId="33" borderId="10" xfId="15" applyNumberFormat="1" applyFont="1" applyFill="1" applyBorder="1">
      <alignment/>
      <protection/>
    </xf>
    <xf numFmtId="4" fontId="4" fillId="0" borderId="0" xfId="0" applyNumberFormat="1" applyFont="1" applyAlignment="1">
      <alignment vertical="center"/>
    </xf>
    <xf numFmtId="3" fontId="2" fillId="0" borderId="10" xfId="15" applyNumberFormat="1" applyFont="1" applyBorder="1" applyAlignment="1">
      <alignment horizontal="right" vertical="center"/>
      <protection/>
    </xf>
    <xf numFmtId="4" fontId="4" fillId="0" borderId="0" xfId="15" applyNumberFormat="1" applyFont="1" applyAlignment="1">
      <alignment vertical="center"/>
      <protection/>
    </xf>
    <xf numFmtId="0" fontId="2" fillId="0" borderId="0" xfId="15" applyFont="1" applyBorder="1" applyAlignment="1">
      <alignment horizontal="center"/>
      <protection/>
    </xf>
    <xf numFmtId="2" fontId="3" fillId="0" borderId="10" xfId="15" applyNumberFormat="1" applyFont="1" applyBorder="1" applyAlignment="1">
      <alignment horizontal="center"/>
      <protection/>
    </xf>
    <xf numFmtId="10" fontId="4" fillId="0" borderId="0" xfId="15" applyNumberFormat="1" applyFont="1">
      <alignment/>
      <protection/>
    </xf>
    <xf numFmtId="0" fontId="4" fillId="0" borderId="0" xfId="0" applyFont="1" applyAlignment="1">
      <alignment/>
    </xf>
    <xf numFmtId="17" fontId="4" fillId="0" borderId="51" xfId="0" applyNumberFormat="1" applyFont="1" applyBorder="1" applyAlignment="1">
      <alignment horizontal="left" vertical="center"/>
    </xf>
    <xf numFmtId="17" fontId="4" fillId="0" borderId="52" xfId="0" applyNumberFormat="1" applyFont="1" applyBorder="1" applyAlignment="1">
      <alignment horizontal="left" vertical="center"/>
    </xf>
    <xf numFmtId="17" fontId="5" fillId="0" borderId="53" xfId="0" applyNumberFormat="1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33" borderId="10" xfId="15" applyFont="1" applyFill="1" applyBorder="1" applyAlignment="1">
      <alignment vertical="center" wrapText="1"/>
      <protection/>
    </xf>
    <xf numFmtId="3" fontId="4" fillId="0" borderId="14" xfId="15" applyNumberFormat="1" applyFont="1" applyBorder="1" applyAlignment="1">
      <alignment horizontal="center" vertical="center"/>
      <protection/>
    </xf>
    <xf numFmtId="3" fontId="4" fillId="0" borderId="10" xfId="15" applyNumberFormat="1" applyFont="1" applyBorder="1" applyAlignment="1">
      <alignment horizontal="center" vertical="center"/>
      <protection/>
    </xf>
    <xf numFmtId="3" fontId="4" fillId="0" borderId="0" xfId="15" applyNumberFormat="1" applyFont="1" applyBorder="1" applyAlignment="1">
      <alignment horizontal="center" vertical="center"/>
      <protection/>
    </xf>
    <xf numFmtId="3" fontId="4" fillId="0" borderId="0" xfId="0" applyNumberFormat="1" applyFont="1" applyAlignment="1">
      <alignment/>
    </xf>
    <xf numFmtId="0" fontId="4" fillId="33" borderId="10" xfId="15" applyFont="1" applyFill="1" applyBorder="1" applyAlignment="1">
      <alignment horizontal="center" vertical="center" wrapText="1"/>
      <protection/>
    </xf>
    <xf numFmtId="3" fontId="4" fillId="0" borderId="14" xfId="15" applyNumberFormat="1" applyFont="1" applyBorder="1" applyAlignment="1">
      <alignment horizontal="center"/>
      <protection/>
    </xf>
    <xf numFmtId="3" fontId="4" fillId="0" borderId="54" xfId="15" applyNumberFormat="1" applyFont="1" applyBorder="1" applyAlignment="1">
      <alignment horizontal="center" vertical="center"/>
      <protection/>
    </xf>
    <xf numFmtId="3" fontId="4" fillId="33" borderId="10" xfId="15" applyNumberFormat="1" applyFont="1" applyFill="1" applyBorder="1" applyAlignment="1">
      <alignment horizontal="center" vertical="center"/>
      <protection/>
    </xf>
    <xf numFmtId="0" fontId="4" fillId="0" borderId="0" xfId="15" applyFont="1" applyAlignment="1">
      <alignment horizontal="center" vertical="center"/>
      <protection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15" applyFont="1" applyBorder="1">
      <alignment/>
      <protection/>
    </xf>
    <xf numFmtId="0" fontId="4" fillId="0" borderId="14" xfId="15" applyFont="1" applyBorder="1" applyAlignment="1">
      <alignment horizontal="center"/>
      <protection/>
    </xf>
    <xf numFmtId="3" fontId="4" fillId="0" borderId="0" xfId="15" applyNumberFormat="1" applyFont="1" applyFill="1">
      <alignment/>
      <protection/>
    </xf>
    <xf numFmtId="3" fontId="4" fillId="0" borderId="0" xfId="0" applyNumberFormat="1" applyFont="1" applyFill="1" applyAlignment="1">
      <alignment/>
    </xf>
    <xf numFmtId="0" fontId="4" fillId="0" borderId="10" xfId="15" applyFont="1" applyBorder="1" applyAlignment="1">
      <alignment/>
      <protection/>
    </xf>
    <xf numFmtId="3" fontId="4" fillId="33" borderId="10" xfId="15" applyNumberFormat="1" applyFont="1" applyFill="1" applyBorder="1" applyAlignment="1" applyProtection="1">
      <alignment horizontal="right" vertical="center"/>
      <protection/>
    </xf>
    <xf numFmtId="3" fontId="4" fillId="0" borderId="10" xfId="15" applyNumberFormat="1" applyFont="1" applyBorder="1" applyAlignment="1">
      <alignment horizontal="right"/>
      <protection/>
    </xf>
    <xf numFmtId="3" fontId="4" fillId="0" borderId="10" xfId="15" applyNumberFormat="1" applyFont="1" applyFill="1" applyBorder="1" applyAlignment="1">
      <alignment horizontal="right"/>
      <protection/>
    </xf>
    <xf numFmtId="3" fontId="5" fillId="0" borderId="10" xfId="15" applyNumberFormat="1" applyFont="1" applyBorder="1" applyAlignment="1">
      <alignment horizontal="right"/>
      <protection/>
    </xf>
    <xf numFmtId="2" fontId="4" fillId="0" borderId="10" xfId="15" applyNumberFormat="1" applyFont="1" applyBorder="1" applyAlignment="1">
      <alignment horizontal="right"/>
      <protection/>
    </xf>
    <xf numFmtId="10" fontId="4" fillId="0" borderId="0" xfId="15" applyNumberFormat="1" applyFont="1" applyBorder="1" applyAlignment="1">
      <alignment horizontal="right"/>
      <protection/>
    </xf>
    <xf numFmtId="10" fontId="4" fillId="0" borderId="0" xfId="15" applyNumberFormat="1" applyFont="1" applyFill="1" applyBorder="1" applyAlignment="1">
      <alignment horizontal="right"/>
      <protection/>
    </xf>
    <xf numFmtId="3" fontId="4" fillId="0" borderId="10" xfId="0" applyNumberFormat="1" applyFont="1" applyBorder="1" applyAlignment="1">
      <alignment horizontal="right"/>
    </xf>
    <xf numFmtId="2" fontId="4" fillId="0" borderId="14" xfId="15" applyNumberFormat="1" applyFont="1" applyBorder="1" applyAlignment="1" quotePrefix="1">
      <alignment horizontal="center"/>
      <protection/>
    </xf>
    <xf numFmtId="0" fontId="2" fillId="0" borderId="11" xfId="15" applyFont="1" applyBorder="1" applyAlignment="1">
      <alignment vertical="center" wrapText="1"/>
      <protection/>
    </xf>
    <xf numFmtId="0" fontId="2" fillId="0" borderId="12" xfId="15" applyFont="1" applyBorder="1" applyAlignment="1">
      <alignment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4" fontId="4" fillId="0" borderId="42" xfId="0" applyNumberFormat="1" applyFont="1" applyBorder="1" applyAlignment="1">
      <alignment horizontal="center" vertical="center"/>
    </xf>
    <xf numFmtId="3" fontId="2" fillId="0" borderId="10" xfId="15" applyNumberFormat="1" applyFont="1" applyBorder="1" applyAlignment="1" quotePrefix="1">
      <alignment horizontal="center" vertical="center"/>
      <protection/>
    </xf>
    <xf numFmtId="2" fontId="2" fillId="0" borderId="0" xfId="15" applyNumberFormat="1" applyFont="1" applyBorder="1">
      <alignment/>
      <protection/>
    </xf>
    <xf numFmtId="0" fontId="2" fillId="0" borderId="16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vertical="center" wrapText="1"/>
      <protection/>
    </xf>
    <xf numFmtId="3" fontId="2" fillId="0" borderId="10" xfId="15" applyNumberFormat="1" applyFont="1" applyFill="1" applyBorder="1" applyAlignment="1">
      <alignment horizontal="right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0" fontId="2" fillId="0" borderId="10" xfId="15" applyFont="1" applyFill="1" applyBorder="1">
      <alignment/>
      <protection/>
    </xf>
    <xf numFmtId="2" fontId="2" fillId="0" borderId="10" xfId="15" applyNumberFormat="1" applyFont="1" applyFill="1" applyBorder="1">
      <alignment/>
      <protection/>
    </xf>
    <xf numFmtId="10" fontId="2" fillId="0" borderId="10" xfId="15" applyNumberFormat="1" applyFont="1" applyFill="1" applyBorder="1" applyAlignment="1">
      <alignment/>
      <protection/>
    </xf>
    <xf numFmtId="3" fontId="2" fillId="0" borderId="10" xfId="15" applyNumberFormat="1" applyFont="1" applyFill="1" applyBorder="1" applyAlignment="1">
      <alignment/>
      <protection/>
    </xf>
    <xf numFmtId="1" fontId="0" fillId="0" borderId="0" xfId="15" applyNumberFormat="1" applyFont="1" applyFill="1">
      <alignment/>
      <protection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15" applyFont="1" applyFill="1" applyBorder="1">
      <alignment/>
      <protection/>
    </xf>
    <xf numFmtId="0" fontId="4" fillId="0" borderId="37" xfId="15" applyFont="1" applyFill="1" applyBorder="1" applyAlignment="1">
      <alignment horizontal="center" vertical="center"/>
      <protection/>
    </xf>
    <xf numFmtId="0" fontId="4" fillId="0" borderId="38" xfId="15" applyFont="1" applyFill="1" applyBorder="1" applyAlignment="1">
      <alignment vertical="center"/>
      <protection/>
    </xf>
    <xf numFmtId="4" fontId="4" fillId="0" borderId="10" xfId="15" applyNumberFormat="1" applyFont="1" applyFill="1" applyBorder="1" applyAlignment="1">
      <alignment horizontal="center" vertical="center"/>
      <protection/>
    </xf>
    <xf numFmtId="4" fontId="4" fillId="0" borderId="38" xfId="15" applyNumberFormat="1" applyFont="1" applyFill="1" applyBorder="1" applyAlignment="1">
      <alignment horizontal="center" vertical="center"/>
      <protection/>
    </xf>
    <xf numFmtId="2" fontId="4" fillId="0" borderId="37" xfId="15" applyNumberFormat="1" applyFont="1" applyFill="1" applyBorder="1" applyAlignment="1">
      <alignment horizontal="center" vertical="center"/>
      <protection/>
    </xf>
    <xf numFmtId="2" fontId="4" fillId="0" borderId="14" xfId="15" applyNumberFormat="1" applyFont="1" applyFill="1" applyBorder="1" applyAlignment="1">
      <alignment horizontal="center" vertical="center"/>
      <protection/>
    </xf>
    <xf numFmtId="2" fontId="4" fillId="0" borderId="49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vertical="center"/>
      <protection/>
    </xf>
    <xf numFmtId="3" fontId="4" fillId="0" borderId="0" xfId="15" applyNumberFormat="1" applyFont="1" applyFill="1" applyAlignment="1">
      <alignment vertical="center"/>
      <protection/>
    </xf>
    <xf numFmtId="2" fontId="4" fillId="0" borderId="0" xfId="15" applyNumberFormat="1" applyFont="1" applyFill="1" applyAlignment="1">
      <alignment horizontal="center" vertical="center"/>
      <protection/>
    </xf>
    <xf numFmtId="2" fontId="4" fillId="0" borderId="10" xfId="15" applyNumberFormat="1" applyFont="1" applyFill="1" applyBorder="1" applyAlignment="1">
      <alignment horizontal="center" vertical="center"/>
      <protection/>
    </xf>
    <xf numFmtId="0" fontId="3" fillId="34" borderId="1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vertical="center"/>
      <protection/>
    </xf>
    <xf numFmtId="0" fontId="4" fillId="0" borderId="10" xfId="15" applyFont="1" applyFill="1" applyBorder="1" applyAlignment="1">
      <alignment vertical="center"/>
      <protection/>
    </xf>
    <xf numFmtId="0" fontId="0" fillId="0" borderId="10" xfId="0" applyFont="1" applyBorder="1" applyAlignment="1">
      <alignment horizontal="center"/>
    </xf>
    <xf numFmtId="2" fontId="4" fillId="0" borderId="10" xfId="15" applyNumberFormat="1" applyFont="1" applyBorder="1" applyAlignment="1" quotePrefix="1">
      <alignment horizontal="center"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15" applyFont="1" applyBorder="1" applyAlignment="1">
      <alignment vertical="center" wrapText="1"/>
      <protection/>
    </xf>
    <xf numFmtId="0" fontId="2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15" applyFont="1" applyFill="1" applyBorder="1">
      <alignment/>
      <protection/>
    </xf>
    <xf numFmtId="2" fontId="3" fillId="0" borderId="55" xfId="15" applyNumberFormat="1" applyFont="1" applyBorder="1" applyAlignment="1" quotePrefix="1">
      <alignment horizontal="center"/>
      <protection/>
    </xf>
    <xf numFmtId="2" fontId="3" fillId="0" borderId="56" xfId="15" applyNumberFormat="1" applyFont="1" applyBorder="1" applyAlignment="1" quotePrefix="1">
      <alignment horizontal="center"/>
      <protection/>
    </xf>
    <xf numFmtId="2" fontId="2" fillId="0" borderId="0" xfId="15" applyNumberFormat="1" applyFont="1" applyBorder="1" applyAlignment="1" quotePrefix="1">
      <alignment horizontal="center"/>
      <protection/>
    </xf>
    <xf numFmtId="0" fontId="2" fillId="0" borderId="16" xfId="15" applyFont="1" applyBorder="1" applyAlignment="1">
      <alignment/>
      <protection/>
    </xf>
    <xf numFmtId="4" fontId="0" fillId="0" borderId="38" xfId="0" applyNumberFormat="1" applyBorder="1" applyAlignment="1" quotePrefix="1">
      <alignment horizontal="center"/>
    </xf>
    <xf numFmtId="4" fontId="0" fillId="0" borderId="40" xfId="0" applyNumberFormat="1" applyBorder="1" applyAlignment="1" quotePrefix="1">
      <alignment horizontal="center"/>
    </xf>
    <xf numFmtId="2" fontId="1" fillId="0" borderId="10" xfId="15" applyNumberFormat="1" applyFont="1" applyBorder="1" applyAlignment="1" quotePrefix="1">
      <alignment horizontal="center"/>
      <protection/>
    </xf>
    <xf numFmtId="2" fontId="4" fillId="35" borderId="44" xfId="0" applyNumberFormat="1" applyFont="1" applyFill="1" applyBorder="1" applyAlignment="1">
      <alignment horizontal="center" vertical="center"/>
    </xf>
    <xf numFmtId="2" fontId="4" fillId="35" borderId="37" xfId="0" applyNumberFormat="1" applyFont="1" applyFill="1" applyBorder="1" applyAlignment="1">
      <alignment horizontal="center" vertical="center"/>
    </xf>
    <xf numFmtId="2" fontId="4" fillId="35" borderId="41" xfId="0" applyNumberFormat="1" applyFont="1" applyFill="1" applyBorder="1" applyAlignment="1">
      <alignment horizontal="center" vertical="center"/>
    </xf>
    <xf numFmtId="2" fontId="5" fillId="35" borderId="39" xfId="0" applyNumberFormat="1" applyFont="1" applyFill="1" applyBorder="1" applyAlignment="1">
      <alignment horizontal="center" vertical="center"/>
    </xf>
    <xf numFmtId="2" fontId="4" fillId="35" borderId="11" xfId="0" applyNumberFormat="1" applyFont="1" applyFill="1" applyBorder="1" applyAlignment="1">
      <alignment horizontal="center" vertical="center"/>
    </xf>
    <xf numFmtId="2" fontId="4" fillId="35" borderId="42" xfId="0" applyNumberFormat="1" applyFont="1" applyFill="1" applyBorder="1" applyAlignment="1">
      <alignment horizontal="center" vertical="center"/>
    </xf>
    <xf numFmtId="2" fontId="4" fillId="35" borderId="29" xfId="0" applyNumberFormat="1" applyFont="1" applyFill="1" applyBorder="1" applyAlignment="1">
      <alignment horizontal="center" vertical="center"/>
    </xf>
    <xf numFmtId="2" fontId="4" fillId="35" borderId="4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/>
    </xf>
    <xf numFmtId="0" fontId="10" fillId="0" borderId="0" xfId="54" applyAlignment="1" applyProtection="1" quotePrefix="1">
      <alignment/>
      <protection/>
    </xf>
    <xf numFmtId="0" fontId="10" fillId="0" borderId="10" xfId="54" applyBorder="1" applyAlignment="1" applyProtection="1">
      <alignment vertical="center"/>
      <protection/>
    </xf>
    <xf numFmtId="1" fontId="2" fillId="0" borderId="0" xfId="15" applyNumberFormat="1" applyFont="1">
      <alignment/>
      <protection/>
    </xf>
    <xf numFmtId="3" fontId="4" fillId="0" borderId="10" xfId="15" applyNumberFormat="1" applyFont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/>
      <protection/>
    </xf>
    <xf numFmtId="2" fontId="4" fillId="0" borderId="14" xfId="15" applyNumberFormat="1" applyFont="1" applyFill="1" applyBorder="1" applyAlignment="1">
      <alignment horizontal="center"/>
      <protection/>
    </xf>
    <xf numFmtId="3" fontId="2" fillId="0" borderId="0" xfId="15" applyNumberFormat="1" applyFont="1" applyAlignment="1">
      <alignment vertical="center"/>
      <protection/>
    </xf>
    <xf numFmtId="4" fontId="2" fillId="0" borderId="0" xfId="15" applyNumberFormat="1" applyFont="1" applyBorder="1">
      <alignment/>
      <protection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2" fontId="4" fillId="8" borderId="10" xfId="0" applyNumberFormat="1" applyFont="1" applyFill="1" applyBorder="1" applyAlignment="1">
      <alignment horizontal="center" vertical="center"/>
    </xf>
    <xf numFmtId="2" fontId="5" fillId="8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1" xfId="15" applyFont="1" applyBorder="1" applyAlignment="1">
      <alignment horizontal="center" vertical="center" wrapText="1"/>
      <protection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2" xfId="15" applyFont="1" applyBorder="1" applyAlignment="1">
      <alignment horizontal="center" vertical="center"/>
      <protection/>
    </xf>
    <xf numFmtId="0" fontId="1" fillId="0" borderId="13" xfId="15" applyFont="1" applyBorder="1" applyAlignment="1">
      <alignment horizontal="center" vertical="center"/>
      <protection/>
    </xf>
    <xf numFmtId="0" fontId="1" fillId="0" borderId="14" xfId="15" applyFont="1" applyBorder="1" applyAlignment="1">
      <alignment horizontal="center" vertical="center"/>
      <protection/>
    </xf>
    <xf numFmtId="0" fontId="3" fillId="0" borderId="12" xfId="15" applyFont="1" applyBorder="1" applyAlignment="1">
      <alignment horizontal="center"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7" xfId="15" applyFont="1" applyBorder="1" applyAlignment="1">
      <alignment horizontal="center" vertical="center" wrapText="1"/>
      <protection/>
    </xf>
    <xf numFmtId="0" fontId="3" fillId="0" borderId="57" xfId="15" applyFont="1" applyBorder="1" applyAlignment="1">
      <alignment horizontal="center" vertical="center" wrapText="1"/>
      <protection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wrapText="1"/>
      <protection/>
    </xf>
    <xf numFmtId="0" fontId="5" fillId="0" borderId="14" xfId="15" applyFont="1" applyBorder="1" applyAlignment="1">
      <alignment horizontal="center" wrapText="1"/>
      <protection/>
    </xf>
    <xf numFmtId="0" fontId="5" fillId="0" borderId="43" xfId="15" applyFont="1" applyBorder="1" applyAlignment="1">
      <alignment horizontal="center" vertical="center" wrapText="1"/>
      <protection/>
    </xf>
    <xf numFmtId="0" fontId="5" fillId="0" borderId="58" xfId="15" applyFont="1" applyBorder="1" applyAlignment="1">
      <alignment horizontal="center" vertical="center" wrapText="1"/>
      <protection/>
    </xf>
    <xf numFmtId="0" fontId="5" fillId="0" borderId="44" xfId="15" applyFont="1" applyBorder="1" applyAlignment="1">
      <alignment horizontal="center" vertical="center" wrapText="1"/>
      <protection/>
    </xf>
    <xf numFmtId="0" fontId="5" fillId="0" borderId="46" xfId="15" applyFont="1" applyBorder="1" applyAlignment="1">
      <alignment horizontal="center" vertical="center" wrapText="1"/>
      <protection/>
    </xf>
    <xf numFmtId="0" fontId="5" fillId="0" borderId="37" xfId="15" applyFont="1" applyBorder="1" applyAlignment="1">
      <alignment horizontal="center" vertical="center" wrapText="1"/>
      <protection/>
    </xf>
    <xf numFmtId="0" fontId="5" fillId="0" borderId="59" xfId="15" applyFont="1" applyBorder="1" applyAlignment="1">
      <alignment horizontal="center" vertical="center" wrapText="1"/>
      <protection/>
    </xf>
    <xf numFmtId="0" fontId="5" fillId="0" borderId="60" xfId="15" applyFont="1" applyBorder="1" applyAlignment="1">
      <alignment horizontal="center" vertical="center" wrapText="1"/>
      <protection/>
    </xf>
    <xf numFmtId="0" fontId="5" fillId="0" borderId="61" xfId="15" applyFont="1" applyBorder="1" applyAlignment="1">
      <alignment horizontal="center" vertical="center" wrapText="1"/>
      <protection/>
    </xf>
    <xf numFmtId="0" fontId="5" fillId="0" borderId="38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44" xfId="15" applyFont="1" applyBorder="1" applyAlignment="1">
      <alignment horizontal="center" vertical="center" wrapText="1"/>
      <protection/>
    </xf>
    <xf numFmtId="0" fontId="3" fillId="0" borderId="37" xfId="15" applyFont="1" applyBorder="1" applyAlignment="1">
      <alignment horizontal="center" vertical="center" wrapText="1"/>
      <protection/>
    </xf>
    <xf numFmtId="0" fontId="3" fillId="0" borderId="39" xfId="15" applyFont="1" applyBorder="1" applyAlignment="1">
      <alignment horizontal="center" vertical="center" wrapText="1"/>
      <protection/>
    </xf>
    <xf numFmtId="0" fontId="3" fillId="0" borderId="43" xfId="15" applyFont="1" applyBorder="1" applyAlignment="1">
      <alignment horizontal="center" vertical="center" wrapText="1"/>
      <protection/>
    </xf>
    <xf numFmtId="0" fontId="3" fillId="0" borderId="38" xfId="15" applyFont="1" applyBorder="1" applyAlignment="1">
      <alignment horizontal="center" vertical="center" wrapText="1"/>
      <protection/>
    </xf>
    <xf numFmtId="0" fontId="3" fillId="0" borderId="40" xfId="15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9" xfId="0" applyFont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6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11" xfId="15" applyFont="1" applyBorder="1" applyAlignment="1">
      <alignment horizontal="center" wrapText="1"/>
      <protection/>
    </xf>
    <xf numFmtId="0" fontId="3" fillId="0" borderId="31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 wrapText="1"/>
      <protection/>
    </xf>
    <xf numFmtId="0" fontId="1" fillId="0" borderId="11" xfId="15" applyFont="1" applyBorder="1" applyAlignment="1">
      <alignment horizontal="center" wrapText="1"/>
      <protection/>
    </xf>
    <xf numFmtId="0" fontId="1" fillId="0" borderId="3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3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/>
      <protection/>
    </xf>
    <xf numFmtId="0" fontId="3" fillId="0" borderId="10" xfId="15" applyFont="1" applyBorder="1" applyAlignment="1">
      <alignment horizontal="center"/>
      <protection/>
    </xf>
    <xf numFmtId="0" fontId="3" fillId="0" borderId="31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54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2" fillId="0" borderId="54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3" xfId="15" applyFont="1" applyBorder="1" applyAlignment="1">
      <alignment horizontal="center" vertical="center"/>
      <protection/>
    </xf>
    <xf numFmtId="0" fontId="2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2" fillId="0" borderId="54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54" xfId="15" applyFont="1" applyBorder="1" applyAlignment="1">
      <alignment horizontal="center" vertical="center" wrapText="1"/>
      <protection/>
    </xf>
    <xf numFmtId="0" fontId="5" fillId="0" borderId="31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4" fillId="0" borderId="10" xfId="15" applyFont="1" applyBorder="1" applyAlignment="1">
      <alignment horizontal="center" wrapText="1"/>
      <protection/>
    </xf>
    <xf numFmtId="0" fontId="4" fillId="0" borderId="10" xfId="15" applyFont="1" applyBorder="1" applyAlignment="1">
      <alignment horizontal="center"/>
      <protection/>
    </xf>
    <xf numFmtId="0" fontId="4" fillId="0" borderId="10" xfId="15" applyFont="1" applyFill="1" applyBorder="1" applyAlignment="1">
      <alignment horizontal="center" wrapText="1"/>
      <protection/>
    </xf>
    <xf numFmtId="0" fontId="5" fillId="0" borderId="10" xfId="15" applyFont="1" applyBorder="1" applyAlignment="1">
      <alignment horizontal="center" wrapText="1"/>
      <protection/>
    </xf>
    <xf numFmtId="0" fontId="4" fillId="0" borderId="11" xfId="15" applyFont="1" applyBorder="1" applyAlignment="1">
      <alignment horizontal="center" wrapText="1"/>
      <protection/>
    </xf>
    <xf numFmtId="0" fontId="4" fillId="0" borderId="31" xfId="15" applyFont="1" applyBorder="1" applyAlignment="1">
      <alignment horizontal="center" wrapText="1"/>
      <protection/>
    </xf>
    <xf numFmtId="0" fontId="2" fillId="0" borderId="31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3" fillId="0" borderId="54" xfId="15" applyFont="1" applyFill="1" applyBorder="1" applyAlignment="1">
      <alignment horizontal="center" vertical="center" wrapText="1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1" fillId="0" borderId="54" xfId="15" applyFont="1" applyBorder="1" applyAlignment="1">
      <alignment horizont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3" fillId="0" borderId="54" xfId="15" applyFont="1" applyBorder="1" applyAlignment="1">
      <alignment horizontal="center" vertical="center" wrapText="1"/>
      <protection/>
    </xf>
    <xf numFmtId="0" fontId="5" fillId="0" borderId="47" xfId="15" applyFont="1" applyBorder="1" applyAlignment="1">
      <alignment horizontal="center" vertical="center" wrapText="1"/>
      <protection/>
    </xf>
    <xf numFmtId="4" fontId="4" fillId="0" borderId="70" xfId="15" applyNumberFormat="1" applyFont="1" applyBorder="1" applyAlignment="1">
      <alignment horizontal="center" vertical="center"/>
      <protection/>
    </xf>
    <xf numFmtId="4" fontId="4" fillId="0" borderId="45" xfId="15" applyNumberFormat="1" applyFont="1" applyBorder="1" applyAlignment="1">
      <alignment horizontal="center" vertical="center"/>
      <protection/>
    </xf>
    <xf numFmtId="4" fontId="4" fillId="0" borderId="71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horizontal="center"/>
      <protection/>
    </xf>
    <xf numFmtId="2" fontId="4" fillId="0" borderId="70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71" xfId="15" applyNumberFormat="1" applyFont="1" applyBorder="1" applyAlignment="1">
      <alignment horizontal="center" vertical="center"/>
      <protection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51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oppro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8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"/>
          <c:w val="0.9117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'Anne-11'!$B$4</c:f>
              <c:strCache>
                <c:ptCount val="1"/>
                <c:pt idx="0">
                  <c:v>Wireless Subscribers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'Anne-11'!$A$5:$A$17</c:f>
              <c:strCache/>
            </c:strRef>
          </c:cat>
          <c:val>
            <c:numRef>
              <c:f>'Anne-11'!$B$5:$B$17</c:f>
              <c:numCache/>
            </c:numRef>
          </c:val>
        </c:ser>
        <c:ser>
          <c:idx val="1"/>
          <c:order val="1"/>
          <c:tx>
            <c:strRef>
              <c:f>'Anne-11'!$C$4</c:f>
              <c:strCache>
                <c:ptCount val="1"/>
                <c:pt idx="0">
                  <c:v>VLR Subscribers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'Anne-11'!$A$5:$A$17</c:f>
              <c:strCache/>
            </c:strRef>
          </c:cat>
          <c:val>
            <c:numRef>
              <c:f>'Anne-11'!$C$5:$C$17</c:f>
              <c:numCache/>
            </c:numRef>
          </c:val>
        </c:ser>
        <c:axId val="7699552"/>
        <c:axId val="2187105"/>
      </c:barChart>
      <c:lineChart>
        <c:grouping val="standard"/>
        <c:varyColors val="0"/>
        <c:ser>
          <c:idx val="2"/>
          <c:order val="2"/>
          <c:tx>
            <c:strRef>
              <c:f>'Anne-11'!$D$4</c:f>
              <c:strCache>
                <c:ptCount val="1"/>
                <c:pt idx="0">
                  <c:v>% of Active subscribers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'Anne-11'!$A$5:$A$17</c:f>
              <c:strCache/>
            </c:strRef>
          </c:cat>
          <c:val>
            <c:numRef>
              <c:f>'Anne-11'!$D$5:$D$17</c:f>
              <c:numCache/>
            </c:numRef>
          </c:val>
          <c:smooth val="0"/>
        </c:ser>
        <c:axId val="19683946"/>
        <c:axId val="42937787"/>
      </c:lineChart>
      <c:dateAx>
        <c:axId val="769955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VLR %</a:t>
                </a:r>
              </a:p>
            </c:rich>
          </c:tx>
          <c:layout>
            <c:manualLayout>
              <c:xMode val="factor"/>
              <c:yMode val="factor"/>
              <c:x val="0.176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8710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8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Subscribers (in Millions)</a:t>
                </a:r>
              </a:p>
            </c:rich>
          </c:tx>
          <c:layout>
            <c:manualLayout>
              <c:xMode val="factor"/>
              <c:yMode val="factor"/>
              <c:x val="0.002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699552"/>
        <c:crossesAt val="1"/>
        <c:crossBetween val="between"/>
        <c:dispUnits/>
      </c:valAx>
      <c:dateAx>
        <c:axId val="19683946"/>
        <c:scaling>
          <c:orientation val="minMax"/>
        </c:scaling>
        <c:axPos val="b"/>
        <c:delete val="1"/>
        <c:majorTickMark val="out"/>
        <c:minorTickMark val="none"/>
        <c:tickLblPos val="none"/>
        <c:crossAx val="42937787"/>
        <c:crosses val="autoZero"/>
        <c:auto val="0"/>
        <c:noMultiLvlLbl val="0"/>
      </c:dateAx>
      <c:valAx>
        <c:axId val="42937787"/>
        <c:scaling>
          <c:orientation val="minMax"/>
        </c:scaling>
        <c:axPos val="l"/>
        <c:delete val="0"/>
        <c:numFmt formatCode="0" sourceLinked="0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6839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7"/>
          <c:y val="0.05175"/>
          <c:w val="0.193"/>
          <c:h val="0.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43</xdr:row>
      <xdr:rowOff>19050</xdr:rowOff>
    </xdr:from>
    <xdr:ext cx="180975" cy="266700"/>
    <xdr:sp fLocksText="0">
      <xdr:nvSpPr>
        <xdr:cNvPr id="1" name="TextBox 7"/>
        <xdr:cNvSpPr txBox="1">
          <a:spLocks noChangeArrowheads="1"/>
        </xdr:cNvSpPr>
      </xdr:nvSpPr>
      <xdr:spPr>
        <a:xfrm>
          <a:off x="114300" y="7715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</xdr:row>
      <xdr:rowOff>171450</xdr:rowOff>
    </xdr:from>
    <xdr:to>
      <xdr:col>14</xdr:col>
      <xdr:colOff>809625</xdr:colOff>
      <xdr:row>29</xdr:row>
      <xdr:rowOff>123825</xdr:rowOff>
    </xdr:to>
    <xdr:graphicFrame>
      <xdr:nvGraphicFramePr>
        <xdr:cNvPr id="2" name="Chart 3"/>
        <xdr:cNvGraphicFramePr/>
      </xdr:nvGraphicFramePr>
      <xdr:xfrm>
        <a:off x="0" y="561975"/>
        <a:ext cx="96107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msung\AppData\Local\Temp\Market%20Share%20Mar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Density"/>
      <sheetName val="opr-31.03.10"/>
      <sheetName val="opr-30.11.09"/>
      <sheetName val="T31.03.10"/>
      <sheetName val="W-Less 31.01.10"/>
      <sheetName val="M31.03.10"/>
      <sheetName val="WLL31.03.10"/>
      <sheetName val="LL31.03.10"/>
      <sheetName val="BSNL mkt share"/>
      <sheetName val="All opr mkt share"/>
      <sheetName val="Urban-Rural Conn"/>
      <sheetName val="Urban-Rural Conn (2)"/>
      <sheetName val="Achi-C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12.140625" style="0" customWidth="1"/>
    <col min="2" max="2" width="107.421875" style="0" customWidth="1"/>
  </cols>
  <sheetData>
    <row r="2" spans="1:2" ht="12.75">
      <c r="A2" s="456" t="s">
        <v>222</v>
      </c>
      <c r="B2" s="457"/>
    </row>
    <row r="4" spans="1:2" ht="24.75" customHeight="1">
      <c r="A4" s="444" t="s">
        <v>111</v>
      </c>
      <c r="B4" s="442" t="s">
        <v>224</v>
      </c>
    </row>
    <row r="5" spans="1:2" ht="24.75" customHeight="1">
      <c r="A5" s="444" t="s">
        <v>211</v>
      </c>
      <c r="B5" s="442" t="s">
        <v>225</v>
      </c>
    </row>
    <row r="6" spans="1:2" ht="24.75" customHeight="1">
      <c r="A6" s="444" t="s">
        <v>212</v>
      </c>
      <c r="B6" s="442" t="s">
        <v>226</v>
      </c>
    </row>
    <row r="7" spans="1:2" ht="24.75" customHeight="1">
      <c r="A7" s="444" t="s">
        <v>213</v>
      </c>
      <c r="B7" s="442" t="s">
        <v>227</v>
      </c>
    </row>
    <row r="8" spans="1:2" ht="24.75" customHeight="1">
      <c r="A8" s="444" t="s">
        <v>214</v>
      </c>
      <c r="B8" s="442" t="s">
        <v>228</v>
      </c>
    </row>
    <row r="9" spans="1:2" ht="24.75" customHeight="1">
      <c r="A9" s="444" t="s">
        <v>215</v>
      </c>
      <c r="B9" s="442" t="s">
        <v>229</v>
      </c>
    </row>
    <row r="10" spans="1:2" ht="24.75" customHeight="1">
      <c r="A10" s="444" t="s">
        <v>216</v>
      </c>
      <c r="B10" s="442" t="s">
        <v>230</v>
      </c>
    </row>
    <row r="11" spans="1:2" ht="24.75" customHeight="1">
      <c r="A11" s="444" t="s">
        <v>217</v>
      </c>
      <c r="B11" s="442" t="s">
        <v>231</v>
      </c>
    </row>
    <row r="12" spans="1:6" ht="24.75" customHeight="1">
      <c r="A12" s="444" t="s">
        <v>218</v>
      </c>
      <c r="B12" s="442" t="s">
        <v>219</v>
      </c>
      <c r="F12" s="443"/>
    </row>
    <row r="13" spans="1:2" ht="24.75" customHeight="1">
      <c r="A13" s="444" t="s">
        <v>220</v>
      </c>
      <c r="B13" s="442" t="s">
        <v>250</v>
      </c>
    </row>
    <row r="14" spans="1:2" ht="24.75" customHeight="1">
      <c r="A14" s="444" t="s">
        <v>221</v>
      </c>
      <c r="B14" s="442" t="s">
        <v>232</v>
      </c>
    </row>
  </sheetData>
  <sheetProtection/>
  <mergeCells count="1">
    <mergeCell ref="A2:B2"/>
  </mergeCells>
  <hyperlinks>
    <hyperlink ref="A4" location="'Anne-1'!A1" display="Annexure-1"/>
    <hyperlink ref="A5" location="'Anne-2'!A1" display="Annexure-2."/>
    <hyperlink ref="A6" location="'Anne-3'!A1" display=" Annexure-3."/>
    <hyperlink ref="A7" location="'Anne-4'!A1" display="Annexure-4."/>
    <hyperlink ref="A8" location="'Anne-5'!A1" display="Annexure-5."/>
    <hyperlink ref="A9" location="'Anne-6'!A1" display="Annexure-6."/>
    <hyperlink ref="A10" location="'Anne-7'!A1" display="Annexure-7."/>
    <hyperlink ref="A11" location="'Anne-8'!A1" display="Annexure-8."/>
    <hyperlink ref="A12" location="'Anne-9'!A1" display="Annexure-9."/>
    <hyperlink ref="A13" location="'Anne-10'!A1" display="Annexure-10."/>
    <hyperlink ref="A14" location="'Anne-11'!A1" display="Annexure-11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3" sqref="B3"/>
    </sheetView>
  </sheetViews>
  <sheetFormatPr defaultColWidth="9.140625" defaultRowHeight="12.75"/>
  <cols>
    <col min="1" max="1" width="5.7109375" style="26" customWidth="1"/>
    <col min="2" max="2" width="13.421875" style="26" customWidth="1"/>
    <col min="3" max="3" width="10.00390625" style="26" customWidth="1"/>
    <col min="4" max="4" width="9.7109375" style="26" customWidth="1"/>
    <col min="5" max="5" width="8.8515625" style="26" customWidth="1"/>
    <col min="6" max="6" width="9.00390625" style="26" customWidth="1"/>
    <col min="7" max="7" width="8.8515625" style="26" customWidth="1"/>
    <col min="8" max="8" width="10.57421875" style="26" customWidth="1"/>
    <col min="9" max="9" width="10.00390625" style="26" customWidth="1"/>
    <col min="10" max="10" width="8.7109375" style="26" customWidth="1"/>
    <col min="11" max="12" width="8.28125" style="26" customWidth="1"/>
    <col min="13" max="13" width="10.28125" style="26" customWidth="1"/>
    <col min="14" max="14" width="9.421875" style="26" customWidth="1"/>
    <col min="15" max="15" width="8.8515625" style="26" customWidth="1"/>
    <col min="16" max="16" width="7.57421875" style="26" customWidth="1"/>
    <col min="17" max="17" width="9.421875" style="26" customWidth="1"/>
    <col min="18" max="18" width="11.140625" style="26" hidden="1" customWidth="1"/>
    <col min="19" max="19" width="13.28125" style="26" customWidth="1"/>
    <col min="20" max="20" width="10.421875" style="26" bestFit="1" customWidth="1"/>
    <col min="21" max="21" width="13.421875" style="26" customWidth="1"/>
    <col min="22" max="26" width="9.140625" style="26" customWidth="1"/>
    <col min="27" max="27" width="12.421875" style="26" customWidth="1"/>
    <col min="28" max="16384" width="9.140625" style="26" customWidth="1"/>
  </cols>
  <sheetData>
    <row r="1" spans="3:16" ht="15.75">
      <c r="C1" s="29" t="str">
        <f>'Anne-8'!B2</f>
        <v>No. 1-2(1)/Market Share/2012-CP&amp;M </v>
      </c>
      <c r="I1" s="29" t="str">
        <f>'Anne-1'!G2</f>
        <v>Dated: 28th February 2013.</v>
      </c>
      <c r="P1" s="29" t="s">
        <v>172</v>
      </c>
    </row>
    <row r="2" ht="15.75">
      <c r="N2" s="29"/>
    </row>
    <row r="3" spans="2:14" ht="15.75">
      <c r="B3" s="29" t="s">
        <v>180</v>
      </c>
      <c r="N3" s="29"/>
    </row>
    <row r="4" spans="7:12" ht="15.75" thickBot="1">
      <c r="G4" s="74"/>
      <c r="H4" s="74"/>
      <c r="I4" s="74"/>
      <c r="J4" s="74"/>
      <c r="K4" s="74"/>
      <c r="L4" s="74"/>
    </row>
    <row r="5" spans="1:17" ht="33.75" customHeight="1">
      <c r="A5" s="480" t="s">
        <v>62</v>
      </c>
      <c r="B5" s="478" t="s">
        <v>156</v>
      </c>
      <c r="C5" s="483" t="s">
        <v>157</v>
      </c>
      <c r="D5" s="484"/>
      <c r="E5" s="484"/>
      <c r="F5" s="484"/>
      <c r="G5" s="485"/>
      <c r="H5" s="483" t="s">
        <v>158</v>
      </c>
      <c r="I5" s="484"/>
      <c r="J5" s="484"/>
      <c r="K5" s="484"/>
      <c r="L5" s="485"/>
      <c r="M5" s="483" t="s">
        <v>159</v>
      </c>
      <c r="N5" s="484"/>
      <c r="O5" s="484"/>
      <c r="P5" s="484"/>
      <c r="Q5" s="485"/>
    </row>
    <row r="6" spans="1:17" ht="16.5" customHeight="1">
      <c r="A6" s="481"/>
      <c r="B6" s="578"/>
      <c r="C6" s="482" t="s">
        <v>160</v>
      </c>
      <c r="D6" s="487"/>
      <c r="E6" s="487" t="s">
        <v>161</v>
      </c>
      <c r="F6" s="487"/>
      <c r="G6" s="486" t="s">
        <v>70</v>
      </c>
      <c r="H6" s="482" t="s">
        <v>160</v>
      </c>
      <c r="I6" s="487"/>
      <c r="J6" s="487" t="s">
        <v>161</v>
      </c>
      <c r="K6" s="487"/>
      <c r="L6" s="486" t="s">
        <v>70</v>
      </c>
      <c r="M6" s="482" t="s">
        <v>160</v>
      </c>
      <c r="N6" s="487"/>
      <c r="O6" s="487" t="s">
        <v>161</v>
      </c>
      <c r="P6" s="487"/>
      <c r="Q6" s="486" t="s">
        <v>70</v>
      </c>
    </row>
    <row r="7" spans="1:17" ht="22.5" customHeight="1">
      <c r="A7" s="482"/>
      <c r="B7" s="486"/>
      <c r="C7" s="482"/>
      <c r="D7" s="487"/>
      <c r="E7" s="487"/>
      <c r="F7" s="487"/>
      <c r="G7" s="486"/>
      <c r="H7" s="482"/>
      <c r="I7" s="487"/>
      <c r="J7" s="487"/>
      <c r="K7" s="487"/>
      <c r="L7" s="486"/>
      <c r="M7" s="482"/>
      <c r="N7" s="487"/>
      <c r="O7" s="487"/>
      <c r="P7" s="487"/>
      <c r="Q7" s="486"/>
    </row>
    <row r="8" spans="1:28" s="270" customFormat="1" ht="24.75" customHeight="1" thickBot="1">
      <c r="A8" s="265">
        <v>1</v>
      </c>
      <c r="B8" s="266" t="s">
        <v>162</v>
      </c>
      <c r="C8" s="579">
        <v>28.04</v>
      </c>
      <c r="D8" s="580"/>
      <c r="E8" s="581">
        <v>2.62</v>
      </c>
      <c r="F8" s="580"/>
      <c r="G8" s="267">
        <f>SUM(C8:F8)</f>
        <v>30.66</v>
      </c>
      <c r="H8" s="579">
        <v>23.93</v>
      </c>
      <c r="I8" s="580"/>
      <c r="J8" s="581">
        <v>0</v>
      </c>
      <c r="K8" s="580"/>
      <c r="L8" s="267">
        <f>SUM(H8:K8)</f>
        <v>23.93</v>
      </c>
      <c r="M8" s="583">
        <f>H8/C8*100</f>
        <v>85.34236804564908</v>
      </c>
      <c r="N8" s="584"/>
      <c r="O8" s="585">
        <f>J8/E8*100</f>
        <v>0</v>
      </c>
      <c r="P8" s="584"/>
      <c r="Q8" s="269">
        <f>L8/G8*100</f>
        <v>78.04957599478148</v>
      </c>
      <c r="S8" s="271"/>
      <c r="T8" s="272"/>
      <c r="U8" s="272"/>
      <c r="AA8" s="160">
        <v>29.14983</v>
      </c>
      <c r="AB8" s="160">
        <f>AA8/AA14*100</f>
        <v>815.7892380120263</v>
      </c>
    </row>
    <row r="9" ht="15.75" thickBot="1"/>
    <row r="10" spans="1:17" ht="33.75" customHeight="1">
      <c r="A10" s="480" t="s">
        <v>62</v>
      </c>
      <c r="B10" s="478" t="s">
        <v>156</v>
      </c>
      <c r="C10" s="483" t="s">
        <v>157</v>
      </c>
      <c r="D10" s="484"/>
      <c r="E10" s="484"/>
      <c r="F10" s="484"/>
      <c r="G10" s="485"/>
      <c r="H10" s="483" t="s">
        <v>158</v>
      </c>
      <c r="I10" s="484"/>
      <c r="J10" s="484"/>
      <c r="K10" s="484"/>
      <c r="L10" s="485"/>
      <c r="M10" s="483" t="s">
        <v>159</v>
      </c>
      <c r="N10" s="484"/>
      <c r="O10" s="484"/>
      <c r="P10" s="484"/>
      <c r="Q10" s="485"/>
    </row>
    <row r="11" spans="1:17" ht="16.5" customHeight="1">
      <c r="A11" s="481"/>
      <c r="B11" s="578"/>
      <c r="C11" s="482" t="s">
        <v>141</v>
      </c>
      <c r="D11" s="487" t="s">
        <v>139</v>
      </c>
      <c r="E11" s="487"/>
      <c r="F11" s="487"/>
      <c r="G11" s="486" t="s">
        <v>70</v>
      </c>
      <c r="H11" s="482" t="s">
        <v>141</v>
      </c>
      <c r="I11" s="487" t="s">
        <v>139</v>
      </c>
      <c r="J11" s="487"/>
      <c r="K11" s="487"/>
      <c r="L11" s="486" t="s">
        <v>70</v>
      </c>
      <c r="M11" s="482" t="s">
        <v>141</v>
      </c>
      <c r="N11" s="487" t="s">
        <v>139</v>
      </c>
      <c r="O11" s="487"/>
      <c r="P11" s="487"/>
      <c r="Q11" s="486" t="s">
        <v>70</v>
      </c>
    </row>
    <row r="12" spans="1:17" ht="21" customHeight="1">
      <c r="A12" s="482"/>
      <c r="B12" s="486"/>
      <c r="C12" s="482"/>
      <c r="D12" s="183" t="s">
        <v>131</v>
      </c>
      <c r="E12" s="183" t="s">
        <v>138</v>
      </c>
      <c r="F12" s="183" t="s">
        <v>89</v>
      </c>
      <c r="G12" s="486"/>
      <c r="H12" s="482"/>
      <c r="I12" s="183" t="s">
        <v>131</v>
      </c>
      <c r="J12" s="183" t="s">
        <v>138</v>
      </c>
      <c r="K12" s="183" t="s">
        <v>89</v>
      </c>
      <c r="L12" s="486"/>
      <c r="M12" s="482"/>
      <c r="N12" s="183" t="s">
        <v>131</v>
      </c>
      <c r="O12" s="183" t="s">
        <v>138</v>
      </c>
      <c r="P12" s="183" t="s">
        <v>89</v>
      </c>
      <c r="Q12" s="486"/>
    </row>
    <row r="13" spans="1:28" s="270" customFormat="1" ht="24.75" customHeight="1">
      <c r="A13" s="273">
        <v>2</v>
      </c>
      <c r="B13" s="274" t="s">
        <v>163</v>
      </c>
      <c r="C13" s="275">
        <v>32.512157</v>
      </c>
      <c r="D13" s="276">
        <v>0.074725</v>
      </c>
      <c r="E13" s="276">
        <v>3.577095</v>
      </c>
      <c r="F13" s="276">
        <f aca="true" t="shared" si="0" ref="F13:F25">SUM(D13:E13)</f>
        <v>3.65182</v>
      </c>
      <c r="G13" s="277">
        <f aca="true" t="shared" si="1" ref="G13:G25">C13+F13</f>
        <v>36.163977</v>
      </c>
      <c r="H13" s="275">
        <v>28.108976</v>
      </c>
      <c r="I13" s="276">
        <v>0</v>
      </c>
      <c r="J13" s="276">
        <v>0</v>
      </c>
      <c r="K13" s="276">
        <v>0</v>
      </c>
      <c r="L13" s="277">
        <f aca="true" t="shared" si="2" ref="L13:L25">H13+K13</f>
        <v>28.108976</v>
      </c>
      <c r="M13" s="278">
        <f>H13/C13*100</f>
        <v>86.45681675319172</v>
      </c>
      <c r="N13" s="279">
        <f>I13/D13*100</f>
        <v>0</v>
      </c>
      <c r="O13" s="279">
        <f>J13/E13*100</f>
        <v>0</v>
      </c>
      <c r="P13" s="279">
        <f>K13/F13*100</f>
        <v>0</v>
      </c>
      <c r="Q13" s="280">
        <f>L13/G13*100</f>
        <v>77.726451380057</v>
      </c>
      <c r="S13" s="271"/>
      <c r="T13" s="272"/>
      <c r="U13" s="272"/>
      <c r="AA13" s="160">
        <v>29.14983</v>
      </c>
      <c r="AB13" s="160">
        <f>AA13/AA19*100</f>
        <v>77.09726343320534</v>
      </c>
    </row>
    <row r="14" spans="1:28" s="270" customFormat="1" ht="24.75" customHeight="1">
      <c r="A14" s="273">
        <v>3</v>
      </c>
      <c r="B14" s="274" t="s">
        <v>164</v>
      </c>
      <c r="C14" s="275">
        <v>38.072367</v>
      </c>
      <c r="D14" s="276">
        <v>0.455953</v>
      </c>
      <c r="E14" s="276">
        <v>6.43152</v>
      </c>
      <c r="F14" s="276">
        <f t="shared" si="0"/>
        <v>6.887473</v>
      </c>
      <c r="G14" s="277">
        <f t="shared" si="1"/>
        <v>44.95984</v>
      </c>
      <c r="H14" s="275">
        <v>33.204489</v>
      </c>
      <c r="I14" s="276">
        <v>0.196699</v>
      </c>
      <c r="J14" s="276">
        <v>0.017677</v>
      </c>
      <c r="K14" s="276">
        <f aca="true" t="shared" si="3" ref="K14:K25">SUM(I14:J14)</f>
        <v>0.214376</v>
      </c>
      <c r="L14" s="277">
        <f t="shared" si="2"/>
        <v>33.418865000000004</v>
      </c>
      <c r="M14" s="278">
        <f aca="true" t="shared" si="4" ref="M14:Q22">H14/C14*100</f>
        <v>87.21414405361243</v>
      </c>
      <c r="N14" s="279">
        <f t="shared" si="4"/>
        <v>43.140192081201356</v>
      </c>
      <c r="O14" s="279">
        <f t="shared" si="4"/>
        <v>0.2748494912555663</v>
      </c>
      <c r="P14" s="279">
        <f t="shared" si="4"/>
        <v>3.1125494067272568</v>
      </c>
      <c r="Q14" s="280">
        <f t="shared" si="4"/>
        <v>74.33048026861306</v>
      </c>
      <c r="S14" s="271"/>
      <c r="T14" s="272"/>
      <c r="U14" s="272"/>
      <c r="V14" s="271"/>
      <c r="AA14" s="160">
        <v>3.573206</v>
      </c>
      <c r="AB14" s="160">
        <f>AA14/AA19*100</f>
        <v>9.450635021991891</v>
      </c>
    </row>
    <row r="15" spans="1:28" s="270" customFormat="1" ht="24.75" customHeight="1">
      <c r="A15" s="273">
        <v>4</v>
      </c>
      <c r="B15" s="274" t="s">
        <v>165</v>
      </c>
      <c r="C15" s="275">
        <v>40.745862</v>
      </c>
      <c r="D15" s="276">
        <v>1.137781</v>
      </c>
      <c r="E15" s="276">
        <v>12.687637</v>
      </c>
      <c r="F15" s="276">
        <f t="shared" si="0"/>
        <v>13.825418</v>
      </c>
      <c r="G15" s="277">
        <f t="shared" si="1"/>
        <v>54.57128</v>
      </c>
      <c r="H15" s="275">
        <v>35.416958</v>
      </c>
      <c r="I15" s="276">
        <v>0.515919</v>
      </c>
      <c r="J15" s="276">
        <v>2.256288</v>
      </c>
      <c r="K15" s="276">
        <f t="shared" si="3"/>
        <v>2.772207</v>
      </c>
      <c r="L15" s="277">
        <f t="shared" si="2"/>
        <v>38.189165</v>
      </c>
      <c r="M15" s="278">
        <f t="shared" si="4"/>
        <v>86.92160691066003</v>
      </c>
      <c r="N15" s="279">
        <f t="shared" si="4"/>
        <v>45.34431494285808</v>
      </c>
      <c r="O15" s="279">
        <f t="shared" si="4"/>
        <v>17.78335871368325</v>
      </c>
      <c r="P15" s="279">
        <f t="shared" si="4"/>
        <v>20.05152393945702</v>
      </c>
      <c r="Q15" s="280">
        <f t="shared" si="4"/>
        <v>69.98033581033833</v>
      </c>
      <c r="S15" s="271"/>
      <c r="T15" s="272"/>
      <c r="U15" s="272"/>
      <c r="V15" s="271"/>
      <c r="AA15" s="160">
        <v>2.756253</v>
      </c>
      <c r="AB15" s="160">
        <f>AA15/AA19*100</f>
        <v>7.2899074756032025</v>
      </c>
    </row>
    <row r="16" spans="1:28" s="270" customFormat="1" ht="24.75" customHeight="1">
      <c r="A16" s="273">
        <v>5</v>
      </c>
      <c r="B16" s="274" t="s">
        <v>166</v>
      </c>
      <c r="C16" s="275">
        <v>40.919515</v>
      </c>
      <c r="D16" s="276">
        <v>9.465588</v>
      </c>
      <c r="E16" s="276">
        <v>26.154405</v>
      </c>
      <c r="F16" s="276">
        <f t="shared" si="0"/>
        <v>35.619993</v>
      </c>
      <c r="G16" s="277">
        <f t="shared" si="1"/>
        <v>76.539508</v>
      </c>
      <c r="H16" s="275">
        <v>35.435637</v>
      </c>
      <c r="I16" s="276">
        <v>0.958792</v>
      </c>
      <c r="J16" s="276">
        <v>5.254117</v>
      </c>
      <c r="K16" s="276">
        <f t="shared" si="3"/>
        <v>6.212909</v>
      </c>
      <c r="L16" s="277">
        <f t="shared" si="2"/>
        <v>41.648545999999996</v>
      </c>
      <c r="M16" s="278">
        <f t="shared" si="4"/>
        <v>86.59837977063023</v>
      </c>
      <c r="N16" s="279">
        <f t="shared" si="4"/>
        <v>10.129238669589252</v>
      </c>
      <c r="O16" s="279">
        <f t="shared" si="4"/>
        <v>20.088841631075148</v>
      </c>
      <c r="P16" s="279">
        <f t="shared" si="4"/>
        <v>17.442196016153062</v>
      </c>
      <c r="Q16" s="280">
        <f t="shared" si="4"/>
        <v>54.41444175470791</v>
      </c>
      <c r="S16" s="271"/>
      <c r="T16" s="272"/>
      <c r="U16" s="272"/>
      <c r="V16" s="271"/>
      <c r="AA16" s="160">
        <v>1.115693</v>
      </c>
      <c r="AB16" s="160">
        <f>AA16/AA19*100</f>
        <v>2.950853474328432</v>
      </c>
    </row>
    <row r="17" spans="1:28" s="405" customFormat="1" ht="24.75" customHeight="1">
      <c r="A17" s="398">
        <v>6</v>
      </c>
      <c r="B17" s="399" t="s">
        <v>167</v>
      </c>
      <c r="C17" s="281">
        <v>41.349173</v>
      </c>
      <c r="D17" s="400">
        <v>16.007314</v>
      </c>
      <c r="E17" s="400">
        <v>41.066272</v>
      </c>
      <c r="F17" s="400">
        <f t="shared" si="0"/>
        <v>57.073586</v>
      </c>
      <c r="G17" s="401">
        <f t="shared" si="1"/>
        <v>98.422759</v>
      </c>
      <c r="H17" s="281">
        <v>35.859482</v>
      </c>
      <c r="I17" s="400">
        <v>1.628111</v>
      </c>
      <c r="J17" s="400">
        <v>9.447357</v>
      </c>
      <c r="K17" s="400">
        <f t="shared" si="3"/>
        <v>11.075468</v>
      </c>
      <c r="L17" s="401">
        <f t="shared" si="2"/>
        <v>46.93495</v>
      </c>
      <c r="M17" s="402">
        <f t="shared" si="4"/>
        <v>86.72357727686597</v>
      </c>
      <c r="N17" s="403">
        <f t="shared" si="4"/>
        <v>10.171044311369165</v>
      </c>
      <c r="O17" s="403">
        <f t="shared" si="4"/>
        <v>23.005148848183737</v>
      </c>
      <c r="P17" s="403">
        <f t="shared" si="4"/>
        <v>19.405593333490557</v>
      </c>
      <c r="Q17" s="404">
        <f t="shared" si="4"/>
        <v>47.68709034055833</v>
      </c>
      <c r="S17" s="406"/>
      <c r="T17" s="407"/>
      <c r="U17" s="407"/>
      <c r="V17" s="406"/>
      <c r="AA17" s="408">
        <v>0.929564</v>
      </c>
      <c r="AB17" s="408">
        <f>AA17/AA19*100</f>
        <v>2.4585680460580415</v>
      </c>
    </row>
    <row r="18" spans="1:28" s="270" customFormat="1" ht="24.75" customHeight="1">
      <c r="A18" s="273">
        <v>7</v>
      </c>
      <c r="B18" s="274" t="s">
        <v>168</v>
      </c>
      <c r="C18" s="275">
        <v>41.564713</v>
      </c>
      <c r="D18" s="276">
        <v>29.697012</v>
      </c>
      <c r="E18" s="276">
        <v>69.198304</v>
      </c>
      <c r="F18" s="276">
        <f t="shared" si="0"/>
        <v>98.895316</v>
      </c>
      <c r="G18" s="277">
        <f t="shared" si="1"/>
        <v>140.460029</v>
      </c>
      <c r="H18" s="275">
        <v>35.422889</v>
      </c>
      <c r="I18" s="276">
        <v>2.572525</v>
      </c>
      <c r="J18" s="276">
        <v>17.163761</v>
      </c>
      <c r="K18" s="276">
        <f t="shared" si="3"/>
        <v>19.736286</v>
      </c>
      <c r="L18" s="277">
        <f t="shared" si="2"/>
        <v>55.159175</v>
      </c>
      <c r="M18" s="278">
        <f t="shared" si="4"/>
        <v>85.22346587597032</v>
      </c>
      <c r="N18" s="279">
        <f t="shared" si="4"/>
        <v>8.662571843928271</v>
      </c>
      <c r="O18" s="279">
        <f t="shared" si="4"/>
        <v>24.803730738834297</v>
      </c>
      <c r="P18" s="279">
        <f t="shared" si="4"/>
        <v>19.956744968588808</v>
      </c>
      <c r="Q18" s="280">
        <f t="shared" si="4"/>
        <v>39.27037135952748</v>
      </c>
      <c r="S18" s="271"/>
      <c r="T18" s="272"/>
      <c r="U18" s="272"/>
      <c r="V18" s="271"/>
      <c r="AA18" s="160">
        <v>0.284617</v>
      </c>
      <c r="AB18" s="160">
        <f>AA18/AA19*100</f>
        <v>0.7527725488131013</v>
      </c>
    </row>
    <row r="19" spans="1:28" s="270" customFormat="1" ht="24.75" customHeight="1">
      <c r="A19" s="273">
        <v>8</v>
      </c>
      <c r="B19" s="274" t="s">
        <v>169</v>
      </c>
      <c r="C19" s="275">
        <v>40.773116</v>
      </c>
      <c r="D19" s="276">
        <v>44.623054</v>
      </c>
      <c r="E19" s="276">
        <v>121.43094</v>
      </c>
      <c r="F19" s="276">
        <f t="shared" si="0"/>
        <v>166.05399400000002</v>
      </c>
      <c r="G19" s="277">
        <f t="shared" si="1"/>
        <v>206.82711</v>
      </c>
      <c r="H19" s="275">
        <v>33.738604</v>
      </c>
      <c r="I19" s="276">
        <v>3.556263</v>
      </c>
      <c r="J19" s="276">
        <v>27.428658</v>
      </c>
      <c r="K19" s="276">
        <f t="shared" si="3"/>
        <v>30.984921</v>
      </c>
      <c r="L19" s="277">
        <f t="shared" si="2"/>
        <v>64.723525</v>
      </c>
      <c r="M19" s="278">
        <f t="shared" si="4"/>
        <v>82.7471807648942</v>
      </c>
      <c r="N19" s="279">
        <f t="shared" si="4"/>
        <v>7.9695643422343965</v>
      </c>
      <c r="O19" s="279">
        <f t="shared" si="4"/>
        <v>22.58786599197865</v>
      </c>
      <c r="P19" s="279">
        <f t="shared" si="4"/>
        <v>18.659545761964626</v>
      </c>
      <c r="Q19" s="280">
        <f t="shared" si="4"/>
        <v>31.29354029072881</v>
      </c>
      <c r="S19" s="271"/>
      <c r="T19" s="272"/>
      <c r="U19" s="272"/>
      <c r="V19" s="271"/>
      <c r="AA19" s="160">
        <f>SUM(AA13:AA18)</f>
        <v>37.809163</v>
      </c>
      <c r="AB19" s="160">
        <f>AA19/AA19*100</f>
        <v>100</v>
      </c>
    </row>
    <row r="20" spans="1:22" s="270" customFormat="1" ht="24.75" customHeight="1">
      <c r="A20" s="273">
        <v>9</v>
      </c>
      <c r="B20" s="274" t="s">
        <v>170</v>
      </c>
      <c r="C20" s="281">
        <v>39.415963</v>
      </c>
      <c r="D20" s="276">
        <v>68.380974</v>
      </c>
      <c r="E20" s="276">
        <v>192.355029</v>
      </c>
      <c r="F20" s="276">
        <f t="shared" si="0"/>
        <v>260.736003</v>
      </c>
      <c r="G20" s="277">
        <f t="shared" si="1"/>
        <v>300.15196599999996</v>
      </c>
      <c r="H20" s="275">
        <v>31.552296</v>
      </c>
      <c r="I20" s="276">
        <v>4.577732</v>
      </c>
      <c r="J20" s="276">
        <v>36.20904</v>
      </c>
      <c r="K20" s="276">
        <f t="shared" si="3"/>
        <v>40.786772</v>
      </c>
      <c r="L20" s="277">
        <f t="shared" si="2"/>
        <v>72.339068</v>
      </c>
      <c r="M20" s="278">
        <f t="shared" si="4"/>
        <v>80.04953729025979</v>
      </c>
      <c r="N20" s="279">
        <f t="shared" si="4"/>
        <v>6.694452758160479</v>
      </c>
      <c r="O20" s="279">
        <f t="shared" si="4"/>
        <v>18.82406724078943</v>
      </c>
      <c r="P20" s="279">
        <f t="shared" si="4"/>
        <v>15.642938271167713</v>
      </c>
      <c r="Q20" s="280">
        <f t="shared" si="4"/>
        <v>24.10081431883741</v>
      </c>
      <c r="S20" s="328">
        <f>G20-G19</f>
        <v>93.32485599999995</v>
      </c>
      <c r="T20" s="272">
        <f>L20-L19</f>
        <v>7.615543000000002</v>
      </c>
      <c r="U20" s="272"/>
      <c r="V20" s="271"/>
    </row>
    <row r="21" spans="1:22" s="270" customFormat="1" ht="24.75" customHeight="1">
      <c r="A21" s="273">
        <v>10</v>
      </c>
      <c r="B21" s="274" t="s">
        <v>171</v>
      </c>
      <c r="C21" s="275">
        <v>37.905555</v>
      </c>
      <c r="D21" s="276">
        <v>102.952086</v>
      </c>
      <c r="E21" s="276">
        <v>288.390629</v>
      </c>
      <c r="F21" s="276">
        <f t="shared" si="0"/>
        <v>391.342715</v>
      </c>
      <c r="G21" s="277">
        <f t="shared" si="1"/>
        <v>429.24827</v>
      </c>
      <c r="H21" s="275">
        <v>29.346431</v>
      </c>
      <c r="I21" s="276">
        <v>5.433038</v>
      </c>
      <c r="J21" s="276">
        <v>46.711196</v>
      </c>
      <c r="K21" s="276">
        <f t="shared" si="3"/>
        <v>52.144234</v>
      </c>
      <c r="L21" s="277">
        <f t="shared" si="2"/>
        <v>81.49066499999999</v>
      </c>
      <c r="M21" s="278">
        <f t="shared" si="4"/>
        <v>77.4198689347775</v>
      </c>
      <c r="N21" s="279">
        <f t="shared" si="4"/>
        <v>5.277249069047518</v>
      </c>
      <c r="O21" s="279">
        <f t="shared" si="4"/>
        <v>16.19719619946458</v>
      </c>
      <c r="P21" s="279">
        <f t="shared" si="4"/>
        <v>13.324442234730242</v>
      </c>
      <c r="Q21" s="280">
        <f t="shared" si="4"/>
        <v>18.98450633243088</v>
      </c>
      <c r="S21" s="328">
        <f>G21-G20</f>
        <v>129.09630400000003</v>
      </c>
      <c r="T21" s="272">
        <f>L21-L20</f>
        <v>9.151596999999995</v>
      </c>
      <c r="U21" s="272"/>
      <c r="V21" s="271"/>
    </row>
    <row r="22" spans="1:27" s="270" customFormat="1" ht="24.75" customHeight="1">
      <c r="A22" s="282">
        <v>11</v>
      </c>
      <c r="B22" s="283" t="s">
        <v>149</v>
      </c>
      <c r="C22" s="284">
        <v>36.942204999999994</v>
      </c>
      <c r="D22" s="286">
        <v>162.727327</v>
      </c>
      <c r="E22" s="285">
        <v>421.6797219999999</v>
      </c>
      <c r="F22" s="286">
        <f t="shared" si="0"/>
        <v>584.4070489999999</v>
      </c>
      <c r="G22" s="287">
        <f t="shared" si="1"/>
        <v>621.3492539999999</v>
      </c>
      <c r="H22" s="284">
        <v>27.83056</v>
      </c>
      <c r="I22" s="286">
        <v>6.144929</v>
      </c>
      <c r="J22" s="286">
        <v>63.305083</v>
      </c>
      <c r="K22" s="286">
        <f t="shared" si="3"/>
        <v>69.450012</v>
      </c>
      <c r="L22" s="287">
        <f t="shared" si="2"/>
        <v>97.280572</v>
      </c>
      <c r="M22" s="288">
        <f t="shared" si="4"/>
        <v>75.33540566947751</v>
      </c>
      <c r="N22" s="289">
        <f t="shared" si="4"/>
        <v>3.7762120925147378</v>
      </c>
      <c r="O22" s="289">
        <f t="shared" si="4"/>
        <v>15.012598353022064</v>
      </c>
      <c r="P22" s="289">
        <f t="shared" si="4"/>
        <v>11.88384228404473</v>
      </c>
      <c r="Q22" s="290">
        <f t="shared" si="4"/>
        <v>15.656343252003008</v>
      </c>
      <c r="S22" s="328">
        <f>G22-G21</f>
        <v>192.10098399999987</v>
      </c>
      <c r="T22" s="272">
        <f>L22-L21</f>
        <v>15.789907000000014</v>
      </c>
      <c r="U22" s="272"/>
      <c r="V22" s="271"/>
      <c r="AA22" s="270">
        <v>162044</v>
      </c>
    </row>
    <row r="23" spans="1:22" s="270" customFormat="1" ht="24.75" customHeight="1">
      <c r="A23" s="282">
        <v>12</v>
      </c>
      <c r="B23" s="283" t="s">
        <v>178</v>
      </c>
      <c r="C23" s="284">
        <v>34.724279</v>
      </c>
      <c r="D23" s="286">
        <v>225.920431</v>
      </c>
      <c r="E23" s="285">
        <v>585.6803009999999</v>
      </c>
      <c r="F23" s="286">
        <f t="shared" si="0"/>
        <v>811.6007319999999</v>
      </c>
      <c r="G23" s="287">
        <f t="shared" si="1"/>
        <v>846.3250109999999</v>
      </c>
      <c r="H23" s="284">
        <v>25.224905</v>
      </c>
      <c r="I23" s="286">
        <v>5.565437</v>
      </c>
      <c r="J23" s="286">
        <v>86.268689</v>
      </c>
      <c r="K23" s="286">
        <f>SUM(I23:J23)</f>
        <v>91.834126</v>
      </c>
      <c r="L23" s="287">
        <f>H23+K23</f>
        <v>117.059031</v>
      </c>
      <c r="M23" s="288">
        <f aca="true" t="shared" si="5" ref="M23:Q25">H23/C23*100</f>
        <v>72.64342335228903</v>
      </c>
      <c r="N23" s="289">
        <f t="shared" si="5"/>
        <v>2.463450063088805</v>
      </c>
      <c r="O23" s="289">
        <f t="shared" si="5"/>
        <v>14.72965521508978</v>
      </c>
      <c r="P23" s="289">
        <f t="shared" si="5"/>
        <v>11.315185211045375</v>
      </c>
      <c r="Q23" s="290">
        <f t="shared" si="5"/>
        <v>13.83145121301396</v>
      </c>
      <c r="S23" s="328">
        <f>G23-G22</f>
        <v>224.97575700000004</v>
      </c>
      <c r="T23" s="272">
        <f>L23-L22</f>
        <v>19.778458999999998</v>
      </c>
      <c r="U23" s="272"/>
      <c r="V23" s="271">
        <f>T23-T20</f>
        <v>12.162915999999996</v>
      </c>
    </row>
    <row r="24" spans="1:22" s="270" customFormat="1" ht="24.75" customHeight="1">
      <c r="A24" s="282">
        <v>13</v>
      </c>
      <c r="B24" s="283" t="s">
        <v>184</v>
      </c>
      <c r="C24" s="284">
        <v>32.15114</v>
      </c>
      <c r="D24" s="286">
        <v>224.340209</v>
      </c>
      <c r="E24" s="285">
        <v>695.756599</v>
      </c>
      <c r="F24" s="286">
        <f t="shared" si="0"/>
        <v>920.096808</v>
      </c>
      <c r="G24" s="287">
        <f t="shared" si="1"/>
        <v>952.247948</v>
      </c>
      <c r="H24" s="284">
        <v>22.467732</v>
      </c>
      <c r="I24" s="286">
        <v>4.003914</v>
      </c>
      <c r="J24" s="286">
        <v>94.509074</v>
      </c>
      <c r="K24" s="286">
        <f>SUM(I24:J24)</f>
        <v>98.51298799999999</v>
      </c>
      <c r="L24" s="287">
        <f>H24+K24</f>
        <v>120.98071999999999</v>
      </c>
      <c r="M24" s="288">
        <f>H24/C24*100</f>
        <v>69.88160295404768</v>
      </c>
      <c r="N24" s="289">
        <f>I24/D24*100</f>
        <v>1.7847509449364918</v>
      </c>
      <c r="O24" s="289">
        <f>J24/E24*100</f>
        <v>13.583640332817021</v>
      </c>
      <c r="P24" s="289">
        <f>K24/F24*100</f>
        <v>10.706806842872995</v>
      </c>
      <c r="Q24" s="290">
        <f>L24/G24*100</f>
        <v>12.70474987676214</v>
      </c>
      <c r="S24" s="328"/>
      <c r="T24" s="272"/>
      <c r="U24" s="272"/>
      <c r="V24" s="271"/>
    </row>
    <row r="25" spans="1:22" s="270" customFormat="1" ht="24.75" customHeight="1" thickBot="1">
      <c r="A25" s="265">
        <v>14</v>
      </c>
      <c r="B25" s="293" t="s">
        <v>194</v>
      </c>
      <c r="C25" s="292">
        <f>'Anne-2'!C22</f>
        <v>30.519215000000003</v>
      </c>
      <c r="D25" s="294">
        <f>'Anne-2'!D22</f>
        <v>170.90018</v>
      </c>
      <c r="E25" s="294">
        <f>'Anne-2'!E22</f>
        <v>691.8456560000001</v>
      </c>
      <c r="F25" s="291">
        <f t="shared" si="0"/>
        <v>862.745836</v>
      </c>
      <c r="G25" s="267">
        <f t="shared" si="1"/>
        <v>893.2650510000001</v>
      </c>
      <c r="H25" s="292">
        <f>'Anne-2'!C9</f>
        <v>20.759607</v>
      </c>
      <c r="I25" s="294">
        <f>'Anne-2'!D9</f>
        <v>2.77976</v>
      </c>
      <c r="J25" s="294">
        <f>'Anne-2'!E9</f>
        <v>97.461133</v>
      </c>
      <c r="K25" s="291">
        <f t="shared" si="3"/>
        <v>100.240893</v>
      </c>
      <c r="L25" s="267">
        <f t="shared" si="2"/>
        <v>121.0005</v>
      </c>
      <c r="M25" s="292">
        <f t="shared" si="5"/>
        <v>68.02143174390297</v>
      </c>
      <c r="N25" s="268">
        <f t="shared" si="5"/>
        <v>1.626540124182432</v>
      </c>
      <c r="O25" s="268">
        <f t="shared" si="5"/>
        <v>14.087120755152938</v>
      </c>
      <c r="P25" s="268">
        <f t="shared" si="5"/>
        <v>11.618820841228608</v>
      </c>
      <c r="Q25" s="269">
        <f t="shared" si="5"/>
        <v>13.545867473997927</v>
      </c>
      <c r="S25" s="328">
        <f>G25-G23</f>
        <v>46.94004000000018</v>
      </c>
      <c r="T25" s="272">
        <f>L25-L23</f>
        <v>3.941468999999998</v>
      </c>
      <c r="V25" s="270">
        <f>V23/4</f>
        <v>3.040728999999999</v>
      </c>
    </row>
    <row r="26" ht="15">
      <c r="D26" s="74"/>
    </row>
    <row r="29" spans="6:11" ht="15">
      <c r="F29" s="161">
        <f>(F25-F22)/F22*100</f>
        <v>47.62755471144226</v>
      </c>
      <c r="K29" s="26">
        <f>(K25-K22)/K22*100</f>
        <v>44.33531415372541</v>
      </c>
    </row>
    <row r="34" spans="8:9" ht="15">
      <c r="H34" s="582"/>
      <c r="I34" s="582"/>
    </row>
    <row r="35" spans="8:9" ht="15">
      <c r="H35" s="582"/>
      <c r="I35" s="582"/>
    </row>
    <row r="36" spans="8:9" ht="15">
      <c r="H36" s="582"/>
      <c r="I36" s="582"/>
    </row>
    <row r="37" spans="8:9" ht="15">
      <c r="H37" s="582"/>
      <c r="I37" s="582"/>
    </row>
    <row r="42" ht="15">
      <c r="H42" s="331"/>
    </row>
  </sheetData>
  <sheetProtection/>
  <mergeCells count="38">
    <mergeCell ref="H36:I36"/>
    <mergeCell ref="H37:I37"/>
    <mergeCell ref="M8:N8"/>
    <mergeCell ref="O8:P8"/>
    <mergeCell ref="I11:K11"/>
    <mergeCell ref="L11:L12"/>
    <mergeCell ref="H34:I34"/>
    <mergeCell ref="H35:I35"/>
    <mergeCell ref="M11:M12"/>
    <mergeCell ref="N11:P11"/>
    <mergeCell ref="D11:F11"/>
    <mergeCell ref="Q6:Q7"/>
    <mergeCell ref="O6:P7"/>
    <mergeCell ref="A5:A7"/>
    <mergeCell ref="B5:B7"/>
    <mergeCell ref="C5:G5"/>
    <mergeCell ref="H5:L5"/>
    <mergeCell ref="L6:L7"/>
    <mergeCell ref="J6:K7"/>
    <mergeCell ref="M5:Q5"/>
    <mergeCell ref="C8:D8"/>
    <mergeCell ref="E8:F8"/>
    <mergeCell ref="H8:I8"/>
    <mergeCell ref="J8:K8"/>
    <mergeCell ref="E6:F7"/>
    <mergeCell ref="G6:G7"/>
    <mergeCell ref="H6:I7"/>
    <mergeCell ref="C6:D7"/>
    <mergeCell ref="M6:N7"/>
    <mergeCell ref="Q11:Q12"/>
    <mergeCell ref="A10:A12"/>
    <mergeCell ref="B10:B12"/>
    <mergeCell ref="C10:G10"/>
    <mergeCell ref="H10:L10"/>
    <mergeCell ref="M10:Q10"/>
    <mergeCell ref="G11:G12"/>
    <mergeCell ref="H11:H12"/>
    <mergeCell ref="C11:C1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2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9" sqref="K29"/>
    </sheetView>
  </sheetViews>
  <sheetFormatPr defaultColWidth="9.140625" defaultRowHeight="12.75"/>
  <cols>
    <col min="1" max="1" width="9.140625" style="299" customWidth="1"/>
    <col min="2" max="6" width="9.421875" style="299" customWidth="1"/>
    <col min="7" max="9" width="10.140625" style="299" customWidth="1"/>
    <col min="10" max="10" width="10.57421875" style="299" customWidth="1"/>
    <col min="11" max="11" width="10.140625" style="299" customWidth="1"/>
    <col min="12" max="15" width="9.421875" style="299" customWidth="1"/>
    <col min="16" max="16" width="10.00390625" style="299" customWidth="1"/>
    <col min="17" max="17" width="9.140625" style="299" customWidth="1"/>
    <col min="18" max="18" width="22.8515625" style="299" customWidth="1"/>
    <col min="19" max="16384" width="9.140625" style="299" customWidth="1"/>
  </cols>
  <sheetData>
    <row r="1" spans="1:15" ht="15.75">
      <c r="A1" s="298" t="s">
        <v>238</v>
      </c>
      <c r="O1" s="298" t="s">
        <v>177</v>
      </c>
    </row>
    <row r="2" ht="15.75" thickBot="1"/>
    <row r="3" spans="1:16" ht="15">
      <c r="A3" s="586" t="s">
        <v>173</v>
      </c>
      <c r="B3" s="589" t="s">
        <v>174</v>
      </c>
      <c r="C3" s="590"/>
      <c r="D3" s="590"/>
      <c r="E3" s="590"/>
      <c r="F3" s="591"/>
      <c r="G3" s="589" t="s">
        <v>175</v>
      </c>
      <c r="H3" s="590"/>
      <c r="I3" s="590"/>
      <c r="J3" s="590"/>
      <c r="K3" s="591"/>
      <c r="L3" s="589" t="s">
        <v>120</v>
      </c>
      <c r="M3" s="590"/>
      <c r="N3" s="590"/>
      <c r="O3" s="590"/>
      <c r="P3" s="591"/>
    </row>
    <row r="4" spans="1:16" ht="15">
      <c r="A4" s="587"/>
      <c r="B4" s="592" t="s">
        <v>176</v>
      </c>
      <c r="C4" s="594" t="s">
        <v>139</v>
      </c>
      <c r="D4" s="594"/>
      <c r="E4" s="594"/>
      <c r="F4" s="595" t="s">
        <v>70</v>
      </c>
      <c r="G4" s="592" t="s">
        <v>176</v>
      </c>
      <c r="H4" s="594" t="s">
        <v>139</v>
      </c>
      <c r="I4" s="594"/>
      <c r="J4" s="594"/>
      <c r="K4" s="595" t="s">
        <v>70</v>
      </c>
      <c r="L4" s="592" t="s">
        <v>176</v>
      </c>
      <c r="M4" s="594" t="s">
        <v>139</v>
      </c>
      <c r="N4" s="594"/>
      <c r="O4" s="594"/>
      <c r="P4" s="595" t="s">
        <v>70</v>
      </c>
    </row>
    <row r="5" spans="1:16" ht="15.75" thickBot="1">
      <c r="A5" s="588"/>
      <c r="B5" s="593"/>
      <c r="C5" s="300" t="s">
        <v>138</v>
      </c>
      <c r="D5" s="300" t="s">
        <v>131</v>
      </c>
      <c r="E5" s="300" t="s">
        <v>47</v>
      </c>
      <c r="F5" s="596"/>
      <c r="G5" s="593"/>
      <c r="H5" s="300" t="s">
        <v>138</v>
      </c>
      <c r="I5" s="300" t="s">
        <v>131</v>
      </c>
      <c r="J5" s="300" t="s">
        <v>47</v>
      </c>
      <c r="K5" s="596"/>
      <c r="L5" s="593"/>
      <c r="M5" s="300" t="s">
        <v>138</v>
      </c>
      <c r="N5" s="300" t="s">
        <v>131</v>
      </c>
      <c r="O5" s="300" t="s">
        <v>47</v>
      </c>
      <c r="P5" s="596"/>
    </row>
    <row r="6" spans="1:18" ht="19.5" customHeight="1">
      <c r="A6" s="333">
        <v>40634</v>
      </c>
      <c r="B6" s="301">
        <v>-1.97656</v>
      </c>
      <c r="C6" s="302">
        <v>2.94261</v>
      </c>
      <c r="D6" s="302">
        <v>-1.2104</v>
      </c>
      <c r="E6" s="302">
        <f aca="true" t="shared" si="0" ref="E6:E15">SUM(C6:D6)</f>
        <v>1.7322100000000002</v>
      </c>
      <c r="F6" s="303">
        <f aca="true" t="shared" si="1" ref="F6:F15">E6+B6</f>
        <v>-0.24434999999999985</v>
      </c>
      <c r="G6" s="301">
        <v>-1.66443</v>
      </c>
      <c r="H6" s="302">
        <v>107.11331</v>
      </c>
      <c r="I6" s="302">
        <v>46.42013</v>
      </c>
      <c r="J6" s="302">
        <f aca="true" t="shared" si="2" ref="J6:J15">SUM(H6:I6)</f>
        <v>153.53343999999998</v>
      </c>
      <c r="K6" s="303">
        <f aca="true" t="shared" si="3" ref="K6:K15">J6+G6</f>
        <v>151.86900999999997</v>
      </c>
      <c r="L6" s="430"/>
      <c r="M6" s="304">
        <f aca="true" t="shared" si="4" ref="M6:P10">C6/H6*100</f>
        <v>2.747193602737139</v>
      </c>
      <c r="N6" s="304">
        <f t="shared" si="4"/>
        <v>-2.607489466315583</v>
      </c>
      <c r="O6" s="304">
        <f t="shared" si="4"/>
        <v>1.1282297849901626</v>
      </c>
      <c r="P6" s="305">
        <f t="shared" si="4"/>
        <v>-0.16089523464991304</v>
      </c>
      <c r="R6" s="299">
        <f>H6*100000</f>
        <v>10711331</v>
      </c>
    </row>
    <row r="7" spans="1:16" ht="19.5" customHeight="1">
      <c r="A7" s="334">
        <v>40664</v>
      </c>
      <c r="B7" s="306">
        <v>-1.64954</v>
      </c>
      <c r="C7" s="307">
        <v>8.98037</v>
      </c>
      <c r="D7" s="307">
        <v>-0.74986</v>
      </c>
      <c r="E7" s="307">
        <f t="shared" si="0"/>
        <v>8.23051</v>
      </c>
      <c r="F7" s="308">
        <f t="shared" si="1"/>
        <v>6.580970000000001</v>
      </c>
      <c r="G7" s="306">
        <v>-1.42817</v>
      </c>
      <c r="H7" s="307">
        <v>108.74655</v>
      </c>
      <c r="I7" s="307">
        <v>24.69854</v>
      </c>
      <c r="J7" s="307">
        <f t="shared" si="2"/>
        <v>133.44509</v>
      </c>
      <c r="K7" s="308">
        <f t="shared" si="3"/>
        <v>132.01692</v>
      </c>
      <c r="L7" s="431"/>
      <c r="M7" s="309">
        <f t="shared" si="4"/>
        <v>8.258073474514823</v>
      </c>
      <c r="N7" s="309">
        <f t="shared" si="4"/>
        <v>-3.036049904164375</v>
      </c>
      <c r="O7" s="309">
        <f t="shared" si="4"/>
        <v>6.167712877259104</v>
      </c>
      <c r="P7" s="310">
        <f t="shared" si="4"/>
        <v>4.98494435410249</v>
      </c>
    </row>
    <row r="8" spans="1:16" ht="19.5" customHeight="1">
      <c r="A8" s="334">
        <v>40695</v>
      </c>
      <c r="B8" s="306">
        <v>-1.37488</v>
      </c>
      <c r="C8" s="307">
        <v>9.68263</v>
      </c>
      <c r="D8" s="307">
        <v>-0.70836</v>
      </c>
      <c r="E8" s="307">
        <f t="shared" si="0"/>
        <v>8.974269999999999</v>
      </c>
      <c r="F8" s="308">
        <f t="shared" si="1"/>
        <v>7.599389999999999</v>
      </c>
      <c r="G8" s="306">
        <v>-1.19616</v>
      </c>
      <c r="H8" s="307">
        <v>97.17405</v>
      </c>
      <c r="I8" s="307">
        <v>16.92081</v>
      </c>
      <c r="J8" s="307">
        <f t="shared" si="2"/>
        <v>114.09486</v>
      </c>
      <c r="K8" s="308">
        <f t="shared" si="3"/>
        <v>112.89869999999999</v>
      </c>
      <c r="L8" s="431"/>
      <c r="M8" s="309">
        <f t="shared" si="4"/>
        <v>9.964213696969509</v>
      </c>
      <c r="N8" s="309">
        <f t="shared" si="4"/>
        <v>-4.186324413547578</v>
      </c>
      <c r="O8" s="309">
        <f t="shared" si="4"/>
        <v>7.8656216415007645</v>
      </c>
      <c r="P8" s="310">
        <f t="shared" si="4"/>
        <v>6.7311581089950545</v>
      </c>
    </row>
    <row r="9" spans="1:16" ht="19.5" customHeight="1">
      <c r="A9" s="334">
        <v>40725</v>
      </c>
      <c r="B9" s="306">
        <v>-1.40813</v>
      </c>
      <c r="C9" s="307">
        <v>16.63965</v>
      </c>
      <c r="D9" s="307">
        <v>-2.42414</v>
      </c>
      <c r="E9" s="307">
        <f t="shared" si="0"/>
        <v>14.21551</v>
      </c>
      <c r="F9" s="308">
        <f t="shared" si="1"/>
        <v>12.80738</v>
      </c>
      <c r="G9" s="306">
        <v>-1.17039</v>
      </c>
      <c r="H9" s="307">
        <v>86.44084</v>
      </c>
      <c r="I9" s="307">
        <v>-19.71096</v>
      </c>
      <c r="J9" s="307">
        <f t="shared" si="2"/>
        <v>66.72988</v>
      </c>
      <c r="K9" s="308">
        <f t="shared" si="3"/>
        <v>65.55949</v>
      </c>
      <c r="L9" s="431"/>
      <c r="M9" s="309">
        <f t="shared" si="4"/>
        <v>19.249755092615946</v>
      </c>
      <c r="N9" s="309">
        <f t="shared" si="4"/>
        <v>12.298437011692986</v>
      </c>
      <c r="O9" s="309">
        <f t="shared" si="4"/>
        <v>21.303065433356096</v>
      </c>
      <c r="P9" s="310">
        <f t="shared" si="4"/>
        <v>19.535508894288228</v>
      </c>
    </row>
    <row r="10" spans="1:16" ht="19.5" customHeight="1">
      <c r="A10" s="334">
        <v>40756</v>
      </c>
      <c r="B10" s="306">
        <v>-1.30176</v>
      </c>
      <c r="C10" s="307">
        <v>3.68143</v>
      </c>
      <c r="D10" s="307">
        <v>-1.0644</v>
      </c>
      <c r="E10" s="307">
        <f t="shared" si="0"/>
        <v>2.61703</v>
      </c>
      <c r="F10" s="308">
        <f t="shared" si="1"/>
        <v>1.3152700000000002</v>
      </c>
      <c r="G10" s="306">
        <v>-1.12752</v>
      </c>
      <c r="H10" s="307">
        <v>53.1877</v>
      </c>
      <c r="I10" s="307">
        <v>20.20849</v>
      </c>
      <c r="J10" s="307">
        <f t="shared" si="2"/>
        <v>73.39619</v>
      </c>
      <c r="K10" s="308">
        <f t="shared" si="3"/>
        <v>72.26867</v>
      </c>
      <c r="L10" s="431"/>
      <c r="M10" s="309">
        <f t="shared" si="4"/>
        <v>6.921581493465595</v>
      </c>
      <c r="N10" s="309">
        <f t="shared" si="4"/>
        <v>-5.267093187071374</v>
      </c>
      <c r="O10" s="309">
        <f t="shared" si="4"/>
        <v>3.565621049266999</v>
      </c>
      <c r="P10" s="310">
        <f t="shared" si="4"/>
        <v>1.8199726105378722</v>
      </c>
    </row>
    <row r="11" spans="1:16" ht="19.5" customHeight="1">
      <c r="A11" s="334">
        <v>40787</v>
      </c>
      <c r="B11" s="317">
        <v>-7.76006</v>
      </c>
      <c r="C11" s="318">
        <v>4.49414</v>
      </c>
      <c r="D11" s="318">
        <v>-0.65951</v>
      </c>
      <c r="E11" s="307">
        <f>SUM(C11:D11)</f>
        <v>3.8346299999999998</v>
      </c>
      <c r="F11" s="308">
        <f>E11+B11</f>
        <v>-3.9254300000000004</v>
      </c>
      <c r="G11" s="317">
        <v>-7.52167</v>
      </c>
      <c r="H11" s="318">
        <v>77.57308</v>
      </c>
      <c r="I11" s="318">
        <v>1.46836</v>
      </c>
      <c r="J11" s="307">
        <f>SUM(H11:I11)</f>
        <v>79.04144000000001</v>
      </c>
      <c r="K11" s="308">
        <f>J11+G11</f>
        <v>71.51977000000001</v>
      </c>
      <c r="L11" s="431"/>
      <c r="M11" s="309">
        <f aca="true" t="shared" si="5" ref="M11:P15">C11/H11*100</f>
        <v>5.79342730751441</v>
      </c>
      <c r="N11" s="309">
        <f t="shared" si="5"/>
        <v>-44.914734806178316</v>
      </c>
      <c r="O11" s="309">
        <f t="shared" si="5"/>
        <v>4.851417180658651</v>
      </c>
      <c r="P11" s="310">
        <f t="shared" si="5"/>
        <v>-5.488594272604623</v>
      </c>
    </row>
    <row r="12" spans="1:16" ht="19.5" customHeight="1">
      <c r="A12" s="334">
        <v>40817</v>
      </c>
      <c r="B12" s="317">
        <v>-1.34409</v>
      </c>
      <c r="C12" s="318">
        <v>6.37972</v>
      </c>
      <c r="D12" s="318">
        <v>-2.3709</v>
      </c>
      <c r="E12" s="307">
        <f t="shared" si="0"/>
        <v>4.00882</v>
      </c>
      <c r="F12" s="308">
        <f t="shared" si="1"/>
        <v>2.66473</v>
      </c>
      <c r="G12" s="317">
        <v>-1.24801</v>
      </c>
      <c r="H12" s="318">
        <v>77.42627</v>
      </c>
      <c r="I12" s="318">
        <v>0.48203</v>
      </c>
      <c r="J12" s="307">
        <f t="shared" si="2"/>
        <v>77.9083</v>
      </c>
      <c r="K12" s="308">
        <f t="shared" si="3"/>
        <v>76.66029</v>
      </c>
      <c r="L12" s="431"/>
      <c r="M12" s="309">
        <f t="shared" si="5"/>
        <v>8.239735686608691</v>
      </c>
      <c r="N12" s="309">
        <f t="shared" si="5"/>
        <v>-491.85735327676696</v>
      </c>
      <c r="O12" s="309">
        <f t="shared" si="5"/>
        <v>5.145562154481615</v>
      </c>
      <c r="P12" s="310">
        <f t="shared" si="5"/>
        <v>3.4760238971180515</v>
      </c>
    </row>
    <row r="13" spans="1:16" ht="19.5" customHeight="1">
      <c r="A13" s="334">
        <v>40848</v>
      </c>
      <c r="B13" s="317">
        <v>-2.3492</v>
      </c>
      <c r="C13" s="321">
        <v>4.23289</v>
      </c>
      <c r="D13" s="321">
        <v>-1.67375</v>
      </c>
      <c r="E13" s="307">
        <f t="shared" si="0"/>
        <v>2.55914</v>
      </c>
      <c r="F13" s="308">
        <f t="shared" si="1"/>
        <v>0.20994000000000002</v>
      </c>
      <c r="G13" s="317">
        <v>-2.29727</v>
      </c>
      <c r="H13" s="321">
        <v>65.42741</v>
      </c>
      <c r="I13" s="321">
        <v>-31.3511</v>
      </c>
      <c r="J13" s="307">
        <f t="shared" si="2"/>
        <v>34.07630999999999</v>
      </c>
      <c r="K13" s="308">
        <f t="shared" si="3"/>
        <v>31.77903999999999</v>
      </c>
      <c r="L13" s="431"/>
      <c r="M13" s="309">
        <f t="shared" si="5"/>
        <v>6.469597375167381</v>
      </c>
      <c r="N13" s="309">
        <f t="shared" si="5"/>
        <v>5.338728146699797</v>
      </c>
      <c r="O13" s="309">
        <f t="shared" si="5"/>
        <v>7.510026760526597</v>
      </c>
      <c r="P13" s="310">
        <f t="shared" si="5"/>
        <v>0.6606241094759315</v>
      </c>
    </row>
    <row r="14" spans="1:16" ht="19.5" customHeight="1">
      <c r="A14" s="334">
        <v>40878</v>
      </c>
      <c r="B14" s="317">
        <v>-3.04709</v>
      </c>
      <c r="C14" s="321">
        <v>4.55472</v>
      </c>
      <c r="D14" s="321">
        <v>-1.45005</v>
      </c>
      <c r="E14" s="307">
        <f t="shared" si="0"/>
        <v>3.1046699999999996</v>
      </c>
      <c r="F14" s="308">
        <f t="shared" si="1"/>
        <v>0.05757999999999974</v>
      </c>
      <c r="G14" s="317">
        <v>-2.76877</v>
      </c>
      <c r="H14" s="321">
        <v>79.98391</v>
      </c>
      <c r="I14" s="321">
        <v>10.43437</v>
      </c>
      <c r="J14" s="307">
        <f t="shared" si="2"/>
        <v>90.41828</v>
      </c>
      <c r="K14" s="308">
        <f t="shared" si="3"/>
        <v>87.64950999999999</v>
      </c>
      <c r="L14" s="431"/>
      <c r="M14" s="309">
        <f t="shared" si="5"/>
        <v>5.694545315426565</v>
      </c>
      <c r="N14" s="309">
        <f t="shared" si="5"/>
        <v>-13.89686200508512</v>
      </c>
      <c r="O14" s="309">
        <f t="shared" si="5"/>
        <v>3.433675137372664</v>
      </c>
      <c r="P14" s="310">
        <f t="shared" si="5"/>
        <v>0.0656934648008868</v>
      </c>
    </row>
    <row r="15" spans="1:16" ht="19.5" customHeight="1">
      <c r="A15" s="334">
        <v>40909</v>
      </c>
      <c r="B15" s="317">
        <v>-2.5079</v>
      </c>
      <c r="C15" s="321">
        <v>8.61644</v>
      </c>
      <c r="D15" s="321">
        <v>0.13112</v>
      </c>
      <c r="E15" s="321">
        <f t="shared" si="0"/>
        <v>8.74756</v>
      </c>
      <c r="F15" s="322">
        <f t="shared" si="1"/>
        <v>6.239660000000001</v>
      </c>
      <c r="G15" s="317">
        <v>-2.92349</v>
      </c>
      <c r="H15" s="321">
        <v>89.177</v>
      </c>
      <c r="I15" s="321">
        <v>9.56287</v>
      </c>
      <c r="J15" s="321">
        <f t="shared" si="2"/>
        <v>98.73987000000001</v>
      </c>
      <c r="K15" s="322">
        <f t="shared" si="3"/>
        <v>95.81638000000001</v>
      </c>
      <c r="L15" s="432"/>
      <c r="M15" s="323">
        <f t="shared" si="5"/>
        <v>9.662177467284165</v>
      </c>
      <c r="N15" s="323">
        <f t="shared" si="5"/>
        <v>1.3711364893593658</v>
      </c>
      <c r="O15" s="323">
        <f t="shared" si="5"/>
        <v>8.859197404250176</v>
      </c>
      <c r="P15" s="324">
        <f t="shared" si="5"/>
        <v>6.5121015843011385</v>
      </c>
    </row>
    <row r="16" spans="1:16" ht="19.5" customHeight="1" hidden="1">
      <c r="A16" s="334">
        <v>40940</v>
      </c>
      <c r="B16" s="317">
        <v>-1.01804</v>
      </c>
      <c r="C16" s="321">
        <v>3.58288</v>
      </c>
      <c r="D16" s="321">
        <v>-2.43655</v>
      </c>
      <c r="E16" s="321">
        <f>SUM(C16:D16)</f>
        <v>1.1463299999999998</v>
      </c>
      <c r="F16" s="322">
        <f>E16+B16</f>
        <v>0.1282899999999998</v>
      </c>
      <c r="G16" s="317">
        <v>-0.80931</v>
      </c>
      <c r="H16" s="321">
        <v>91.36996</v>
      </c>
      <c r="I16" s="321">
        <v>-7.85677</v>
      </c>
      <c r="J16" s="321">
        <f>SUM(H16:I16)</f>
        <v>83.51319000000001</v>
      </c>
      <c r="K16" s="322">
        <f>J16+G16</f>
        <v>82.70388000000001</v>
      </c>
      <c r="L16" s="432"/>
      <c r="M16" s="323">
        <f aca="true" t="shared" si="6" ref="M16:P17">C16/H16*100</f>
        <v>3.9212887911957055</v>
      </c>
      <c r="N16" s="323">
        <f t="shared" si="6"/>
        <v>31.012108029126473</v>
      </c>
      <c r="O16" s="323">
        <f t="shared" si="6"/>
        <v>1.3726334726286946</v>
      </c>
      <c r="P16" s="324">
        <f t="shared" si="6"/>
        <v>0.15511968725046488</v>
      </c>
    </row>
    <row r="17" spans="1:16" ht="19.5" customHeight="1" hidden="1">
      <c r="A17" s="334">
        <v>40969</v>
      </c>
      <c r="B17" s="317">
        <v>-1.83448</v>
      </c>
      <c r="C17" s="321">
        <v>8.61637</v>
      </c>
      <c r="D17" s="321">
        <v>-0.99843</v>
      </c>
      <c r="E17" s="321">
        <f>SUM(C17:D17)</f>
        <v>7.61794</v>
      </c>
      <c r="F17" s="322">
        <f>E17+B17</f>
        <v>5.78346</v>
      </c>
      <c r="G17" s="317">
        <v>-1.5762</v>
      </c>
      <c r="H17" s="321">
        <v>72.64889</v>
      </c>
      <c r="I17" s="321">
        <v>7.41502</v>
      </c>
      <c r="J17" s="321">
        <f>SUM(H17:I17)</f>
        <v>80.06390999999999</v>
      </c>
      <c r="K17" s="322">
        <f>J17+G17</f>
        <v>78.48770999999999</v>
      </c>
      <c r="L17" s="432"/>
      <c r="M17" s="323">
        <f t="shared" si="6"/>
        <v>11.860291327231566</v>
      </c>
      <c r="N17" s="323">
        <f t="shared" si="6"/>
        <v>-13.464967053359263</v>
      </c>
      <c r="O17" s="323">
        <f t="shared" si="6"/>
        <v>9.514823845100747</v>
      </c>
      <c r="P17" s="324">
        <f t="shared" si="6"/>
        <v>7.368618602836037</v>
      </c>
    </row>
    <row r="18" spans="1:16" s="298" customFormat="1" ht="19.5" customHeight="1" thickBot="1">
      <c r="A18" s="335" t="s">
        <v>47</v>
      </c>
      <c r="B18" s="311">
        <f>SUM(B6:B15)</f>
        <v>-24.71921</v>
      </c>
      <c r="C18" s="312">
        <f aca="true" t="shared" si="7" ref="C18:K18">SUM(C6:C15)</f>
        <v>70.2046</v>
      </c>
      <c r="D18" s="312">
        <f t="shared" si="7"/>
        <v>-12.180250000000001</v>
      </c>
      <c r="E18" s="312">
        <f t="shared" si="7"/>
        <v>58.02435</v>
      </c>
      <c r="F18" s="313">
        <f t="shared" si="7"/>
        <v>33.305139999999994</v>
      </c>
      <c r="G18" s="311">
        <f t="shared" si="7"/>
        <v>-23.34588</v>
      </c>
      <c r="H18" s="312">
        <f t="shared" si="7"/>
        <v>842.25012</v>
      </c>
      <c r="I18" s="312">
        <f t="shared" si="7"/>
        <v>79.13354000000001</v>
      </c>
      <c r="J18" s="312">
        <f t="shared" si="7"/>
        <v>921.3836599999998</v>
      </c>
      <c r="K18" s="313">
        <f t="shared" si="7"/>
        <v>898.03778</v>
      </c>
      <c r="L18" s="433"/>
      <c r="M18" s="314">
        <f>C18/H18*100</f>
        <v>8.335362421794608</v>
      </c>
      <c r="N18" s="314">
        <f>D18/I18*100</f>
        <v>-15.392019616460983</v>
      </c>
      <c r="O18" s="314">
        <f>E18/J18*100</f>
        <v>6.297523227186383</v>
      </c>
      <c r="P18" s="315">
        <f>F18/K18*100</f>
        <v>3.70865688969121</v>
      </c>
    </row>
    <row r="19" spans="1:16" s="298" customFormat="1" ht="19.5" customHeight="1">
      <c r="A19" s="333">
        <v>41000</v>
      </c>
      <c r="B19" s="317">
        <v>-2.84062</v>
      </c>
      <c r="C19" s="318">
        <v>-3.58766</v>
      </c>
      <c r="D19" s="318">
        <v>-3.59284</v>
      </c>
      <c r="E19" s="318">
        <f aca="true" t="shared" si="8" ref="E19:E28">SUM(C19:D19)</f>
        <v>-7.1805</v>
      </c>
      <c r="F19" s="378">
        <f aca="true" t="shared" si="9" ref="F19:F28">E19+B19</f>
        <v>-10.02112</v>
      </c>
      <c r="G19" s="317">
        <v>-2.75705</v>
      </c>
      <c r="H19" s="318">
        <v>62.10981</v>
      </c>
      <c r="I19" s="318">
        <v>-1.55431</v>
      </c>
      <c r="J19" s="318">
        <f aca="true" t="shared" si="10" ref="J19:J28">SUM(H19:I19)</f>
        <v>60.5555</v>
      </c>
      <c r="K19" s="378">
        <f aca="true" t="shared" si="11" ref="K19:K28">J19+G19</f>
        <v>57.79845</v>
      </c>
      <c r="L19" s="432"/>
      <c r="M19" s="434"/>
      <c r="N19" s="434"/>
      <c r="O19" s="434"/>
      <c r="P19" s="435"/>
    </row>
    <row r="20" spans="1:16" s="298" customFormat="1" ht="19.5" customHeight="1">
      <c r="A20" s="334">
        <v>41030</v>
      </c>
      <c r="B20" s="317">
        <v>-3.64006</v>
      </c>
      <c r="C20" s="318">
        <v>-0.22519</v>
      </c>
      <c r="D20" s="318">
        <v>-0.5929</v>
      </c>
      <c r="E20" s="318">
        <f t="shared" si="8"/>
        <v>-0.81809</v>
      </c>
      <c r="F20" s="378">
        <f t="shared" si="9"/>
        <v>-4.45815</v>
      </c>
      <c r="G20" s="317">
        <v>-3.5875</v>
      </c>
      <c r="H20" s="318">
        <v>21.20285</v>
      </c>
      <c r="I20" s="318">
        <v>11.13474</v>
      </c>
      <c r="J20" s="318">
        <f t="shared" si="10"/>
        <v>32.337590000000006</v>
      </c>
      <c r="K20" s="378">
        <f t="shared" si="11"/>
        <v>28.750090000000007</v>
      </c>
      <c r="L20" s="432"/>
      <c r="M20" s="434"/>
      <c r="N20" s="434"/>
      <c r="O20" s="434"/>
      <c r="P20" s="435"/>
    </row>
    <row r="21" spans="1:16" s="298" customFormat="1" ht="19.5" customHeight="1">
      <c r="A21" s="334">
        <v>41061</v>
      </c>
      <c r="B21" s="317">
        <v>-1.09442</v>
      </c>
      <c r="C21" s="318">
        <v>6.5999</v>
      </c>
      <c r="D21" s="318">
        <v>-0.95842</v>
      </c>
      <c r="E21" s="318">
        <f t="shared" si="8"/>
        <v>5.64148</v>
      </c>
      <c r="F21" s="378">
        <f t="shared" si="9"/>
        <v>4.54706</v>
      </c>
      <c r="G21" s="317">
        <v>-1.17242</v>
      </c>
      <c r="H21" s="318">
        <v>64.93745</v>
      </c>
      <c r="I21" s="318">
        <v>-44.59592</v>
      </c>
      <c r="J21" s="318">
        <f t="shared" si="10"/>
        <v>20.34153</v>
      </c>
      <c r="K21" s="378">
        <f t="shared" si="11"/>
        <v>19.16911</v>
      </c>
      <c r="L21" s="432"/>
      <c r="M21" s="323">
        <f>C21/H21*100</f>
        <v>10.163472695647888</v>
      </c>
      <c r="N21" s="323">
        <f>D21/I21*100</f>
        <v>2.149120367961912</v>
      </c>
      <c r="O21" s="323">
        <f>E21/J21*100</f>
        <v>27.733803701098196</v>
      </c>
      <c r="P21" s="324">
        <f>F21/K21*100</f>
        <v>23.720767422170358</v>
      </c>
    </row>
    <row r="22" spans="1:16" s="298" customFormat="1" ht="19.5" customHeight="1">
      <c r="A22" s="334">
        <v>41091</v>
      </c>
      <c r="B22" s="317">
        <v>-0.94857</v>
      </c>
      <c r="C22" s="318">
        <v>6.81866</v>
      </c>
      <c r="D22" s="318">
        <v>-2.10314</v>
      </c>
      <c r="E22" s="318">
        <f t="shared" si="8"/>
        <v>4.715520000000001</v>
      </c>
      <c r="F22" s="378">
        <f t="shared" si="9"/>
        <v>3.7669500000000005</v>
      </c>
      <c r="G22" s="317">
        <v>-0.72608</v>
      </c>
      <c r="H22" s="318">
        <v>24.69893</v>
      </c>
      <c r="I22" s="318">
        <v>-203.53081</v>
      </c>
      <c r="J22" s="318">
        <f t="shared" si="10"/>
        <v>-178.83188</v>
      </c>
      <c r="K22" s="378">
        <f t="shared" si="11"/>
        <v>-179.55796</v>
      </c>
      <c r="L22" s="432"/>
      <c r="M22" s="309">
        <f>C22/H22*100</f>
        <v>27.60710686657276</v>
      </c>
      <c r="N22" s="434"/>
      <c r="O22" s="434"/>
      <c r="P22" s="435"/>
    </row>
    <row r="23" spans="1:16" s="298" customFormat="1" ht="19.5" customHeight="1">
      <c r="A23" s="334">
        <v>41122</v>
      </c>
      <c r="B23" s="317">
        <v>-1.24371</v>
      </c>
      <c r="C23" s="318">
        <v>5.82018</v>
      </c>
      <c r="D23" s="318">
        <v>-0.90656</v>
      </c>
      <c r="E23" s="318">
        <f t="shared" si="8"/>
        <v>4.91362</v>
      </c>
      <c r="F23" s="378">
        <f t="shared" si="9"/>
        <v>3.66991</v>
      </c>
      <c r="G23" s="317">
        <v>-1.1894</v>
      </c>
      <c r="H23" s="318">
        <v>-65.23839</v>
      </c>
      <c r="I23" s="318">
        <v>13.48999</v>
      </c>
      <c r="J23" s="318">
        <f t="shared" si="10"/>
        <v>-51.7484</v>
      </c>
      <c r="K23" s="378">
        <f t="shared" si="11"/>
        <v>-52.937799999999996</v>
      </c>
      <c r="L23" s="432"/>
      <c r="M23" s="309"/>
      <c r="N23" s="434"/>
      <c r="O23" s="434"/>
      <c r="P23" s="435"/>
    </row>
    <row r="24" spans="1:16" s="298" customFormat="1" ht="19.5" customHeight="1">
      <c r="A24" s="334">
        <v>41153</v>
      </c>
      <c r="B24" s="317">
        <v>-1.27945</v>
      </c>
      <c r="C24" s="318">
        <v>4.54957</v>
      </c>
      <c r="D24" s="318">
        <v>-0.61941</v>
      </c>
      <c r="E24" s="318">
        <f>SUM(C24:D24)</f>
        <v>3.93016</v>
      </c>
      <c r="F24" s="378">
        <f>E24+B24</f>
        <v>2.65071</v>
      </c>
      <c r="G24" s="317">
        <v>-1.25615</v>
      </c>
      <c r="H24" s="318">
        <v>-14.21437</v>
      </c>
      <c r="I24" s="318">
        <v>-3.24297</v>
      </c>
      <c r="J24" s="318">
        <f>SUM(H24:I24)</f>
        <v>-17.457340000000002</v>
      </c>
      <c r="K24" s="378">
        <f>J24+G24</f>
        <v>-18.713490000000004</v>
      </c>
      <c r="L24" s="432"/>
      <c r="M24" s="309"/>
      <c r="N24" s="434"/>
      <c r="O24" s="434"/>
      <c r="P24" s="435"/>
    </row>
    <row r="25" spans="1:16" s="298" customFormat="1" ht="19.5" customHeight="1">
      <c r="A25" s="334">
        <v>41183</v>
      </c>
      <c r="B25" s="317">
        <v>-1.46914</v>
      </c>
      <c r="C25" s="318">
        <v>4.38323</v>
      </c>
      <c r="D25" s="318">
        <v>-0.81175</v>
      </c>
      <c r="E25" s="318">
        <f>SUM(C25:D25)</f>
        <v>3.57148</v>
      </c>
      <c r="F25" s="378">
        <f>E25+B25</f>
        <v>2.1023400000000003</v>
      </c>
      <c r="G25" s="317">
        <v>-1.38132</v>
      </c>
      <c r="H25" s="318">
        <v>5.97524</v>
      </c>
      <c r="I25" s="318">
        <v>-29.35126</v>
      </c>
      <c r="J25" s="318">
        <f>SUM(H25:I25)</f>
        <v>-23.37602</v>
      </c>
      <c r="K25" s="378">
        <f>J25+G25</f>
        <v>-24.75734</v>
      </c>
      <c r="L25" s="432"/>
      <c r="M25" s="309">
        <f>C25/H25*100</f>
        <v>73.35655136864794</v>
      </c>
      <c r="N25" s="434"/>
      <c r="O25" s="434"/>
      <c r="P25" s="435"/>
    </row>
    <row r="26" spans="1:16" s="298" customFormat="1" ht="19.5" customHeight="1">
      <c r="A26" s="334">
        <v>41214</v>
      </c>
      <c r="B26" s="317">
        <v>-0.80704</v>
      </c>
      <c r="C26" s="318">
        <v>-0.30571</v>
      </c>
      <c r="D26" s="318">
        <v>-0.5045</v>
      </c>
      <c r="E26" s="318">
        <f>SUM(C26:D26)</f>
        <v>-0.8102099999999999</v>
      </c>
      <c r="F26" s="378">
        <f>E26+B26</f>
        <v>-1.6172499999999999</v>
      </c>
      <c r="G26" s="317">
        <v>-0.76737</v>
      </c>
      <c r="H26" s="318">
        <v>-90.19644</v>
      </c>
      <c r="I26" s="318">
        <v>-46.26362</v>
      </c>
      <c r="J26" s="318">
        <f>SUM(H26:I26)</f>
        <v>-136.46006</v>
      </c>
      <c r="K26" s="378">
        <f>J26+G26</f>
        <v>-137.22743</v>
      </c>
      <c r="L26" s="432"/>
      <c r="M26" s="309">
        <f>C26/H26*100</f>
        <v>0.3389379891268436</v>
      </c>
      <c r="N26" s="434"/>
      <c r="O26" s="434"/>
      <c r="P26" s="435"/>
    </row>
    <row r="27" spans="1:16" s="298" customFormat="1" ht="19.5" customHeight="1">
      <c r="A27" s="334">
        <v>41244</v>
      </c>
      <c r="B27" s="317">
        <v>-0.94327</v>
      </c>
      <c r="C27" s="318">
        <v>1.78405</v>
      </c>
      <c r="D27" s="318">
        <v>-1.65392</v>
      </c>
      <c r="E27" s="318">
        <f>SUM(C27:D27)</f>
        <v>0.13012999999999986</v>
      </c>
      <c r="F27" s="378">
        <f>E27+B27</f>
        <v>-0.8131400000000002</v>
      </c>
      <c r="G27" s="317">
        <v>-0.83371</v>
      </c>
      <c r="H27" s="318">
        <v>-66.62281</v>
      </c>
      <c r="I27" s="318">
        <v>-192.159</v>
      </c>
      <c r="J27" s="318">
        <f>SUM(H27:I27)</f>
        <v>-258.78181</v>
      </c>
      <c r="K27" s="378">
        <f>J27+G27</f>
        <v>-259.61552</v>
      </c>
      <c r="L27" s="432"/>
      <c r="M27" s="309"/>
      <c r="N27" s="434"/>
      <c r="O27" s="434"/>
      <c r="P27" s="435"/>
    </row>
    <row r="28" spans="1:16" ht="19.5" customHeight="1">
      <c r="A28" s="334">
        <v>41244</v>
      </c>
      <c r="B28" s="306">
        <f>('Anne-8'!D42)/100000</f>
        <v>-2.81497</v>
      </c>
      <c r="C28" s="307">
        <f>('Anne-6'!D43)/100000</f>
        <v>3.68356</v>
      </c>
      <c r="D28" s="307">
        <f>'Anne-7'!F42/100000</f>
        <v>-0.4981</v>
      </c>
      <c r="E28" s="307">
        <f t="shared" si="8"/>
        <v>3.18546</v>
      </c>
      <c r="F28" s="308">
        <f t="shared" si="9"/>
        <v>0.37048999999999976</v>
      </c>
      <c r="G28" s="306">
        <f>('Anne-8'!O42)/100000</f>
        <v>-2.64825</v>
      </c>
      <c r="H28" s="307">
        <f>('Anne-6'!Z43)/100000</f>
        <v>18.2383</v>
      </c>
      <c r="I28" s="307">
        <f>('Anne-7'!N42)/100000</f>
        <v>-38.32713</v>
      </c>
      <c r="J28" s="307">
        <f t="shared" si="10"/>
        <v>-20.088829999999998</v>
      </c>
      <c r="K28" s="308">
        <f t="shared" si="11"/>
        <v>-22.73708</v>
      </c>
      <c r="L28" s="431"/>
      <c r="M28" s="454"/>
      <c r="N28" s="434"/>
      <c r="O28" s="434"/>
      <c r="P28" s="435"/>
    </row>
    <row r="29" spans="1:16" s="298" customFormat="1" ht="19.5" customHeight="1" thickBot="1">
      <c r="A29" s="336" t="s">
        <v>47</v>
      </c>
      <c r="B29" s="311">
        <f>SUM(B19:B28)</f>
        <v>-17.08125</v>
      </c>
      <c r="C29" s="312">
        <f aca="true" t="shared" si="12" ref="C29:K29">SUM(C19:C28)</f>
        <v>29.52059</v>
      </c>
      <c r="D29" s="312">
        <f t="shared" si="12"/>
        <v>-12.24154</v>
      </c>
      <c r="E29" s="312">
        <f t="shared" si="12"/>
        <v>17.279049999999998</v>
      </c>
      <c r="F29" s="313">
        <f t="shared" si="12"/>
        <v>0.19780000000000086</v>
      </c>
      <c r="G29" s="311">
        <f t="shared" si="12"/>
        <v>-16.31925</v>
      </c>
      <c r="H29" s="312">
        <f t="shared" si="12"/>
        <v>-39.10943</v>
      </c>
      <c r="I29" s="312">
        <f t="shared" si="12"/>
        <v>-534.40029</v>
      </c>
      <c r="J29" s="312">
        <f t="shared" si="12"/>
        <v>-573.5097200000001</v>
      </c>
      <c r="K29" s="313">
        <f t="shared" si="12"/>
        <v>-589.8289699999999</v>
      </c>
      <c r="L29" s="433"/>
      <c r="M29" s="455"/>
      <c r="N29" s="436"/>
      <c r="O29" s="436"/>
      <c r="P29" s="437"/>
    </row>
    <row r="30" spans="1:16" s="298" customFormat="1" ht="19.5" customHeight="1">
      <c r="A30" s="438"/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40"/>
      <c r="M30" s="440"/>
      <c r="N30" s="441"/>
      <c r="O30" s="441"/>
      <c r="P30" s="441"/>
    </row>
    <row r="31" ht="15.75">
      <c r="A31" s="298" t="s">
        <v>210</v>
      </c>
    </row>
    <row r="35" ht="15">
      <c r="H35" s="316"/>
    </row>
    <row r="40" ht="15">
      <c r="I40" s="326"/>
    </row>
  </sheetData>
  <sheetProtection/>
  <mergeCells count="13">
    <mergeCell ref="K4:K5"/>
    <mergeCell ref="L4:L5"/>
    <mergeCell ref="M4:O4"/>
    <mergeCell ref="A3:A5"/>
    <mergeCell ref="B3:F3"/>
    <mergeCell ref="G3:K3"/>
    <mergeCell ref="L3:P3"/>
    <mergeCell ref="B4:B5"/>
    <mergeCell ref="C4:E4"/>
    <mergeCell ref="P4:P5"/>
    <mergeCell ref="F4:F5"/>
    <mergeCell ref="G4:G5"/>
    <mergeCell ref="H4:J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4" r:id="rId1"/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6">
      <selection activeCell="Q33" sqref="Q33"/>
    </sheetView>
  </sheetViews>
  <sheetFormatPr defaultColWidth="9.140625" defaultRowHeight="12.75"/>
  <cols>
    <col min="1" max="1" width="18.7109375" style="414" customWidth="1"/>
    <col min="2" max="2" width="10.140625" style="414" customWidth="1"/>
    <col min="3" max="3" width="10.28125" style="414" customWidth="1"/>
    <col min="4" max="4" width="11.00390625" style="414" customWidth="1"/>
    <col min="5" max="6" width="8.8515625" style="414" customWidth="1"/>
    <col min="7" max="7" width="7.7109375" style="414" customWidth="1"/>
    <col min="8" max="8" width="8.00390625" style="414" customWidth="1"/>
    <col min="9" max="9" width="7.57421875" style="414" customWidth="1"/>
    <col min="10" max="10" width="7.8515625" style="414" customWidth="1"/>
    <col min="11" max="11" width="9.00390625" style="414" customWidth="1"/>
    <col min="12" max="12" width="7.7109375" style="414" customWidth="1"/>
    <col min="13" max="13" width="9.00390625" style="414" customWidth="1"/>
    <col min="14" max="14" width="7.28125" style="414" customWidth="1"/>
    <col min="15" max="15" width="12.28125" style="414" customWidth="1"/>
    <col min="16" max="16384" width="9.140625" style="414" customWidth="1"/>
  </cols>
  <sheetData>
    <row r="1" spans="1:13" ht="15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 t="s">
        <v>206</v>
      </c>
      <c r="L1" s="332"/>
      <c r="M1" s="332"/>
    </row>
    <row r="2" spans="1:13" ht="15.75">
      <c r="A2" s="421" t="s">
        <v>246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ht="15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9" ht="29.25" customHeight="1">
      <c r="A4" s="416" t="s">
        <v>202</v>
      </c>
      <c r="B4" s="417" t="s">
        <v>203</v>
      </c>
      <c r="C4" s="417" t="s">
        <v>204</v>
      </c>
      <c r="D4" s="417" t="s">
        <v>205</v>
      </c>
      <c r="F4" s="414" t="s">
        <v>67</v>
      </c>
      <c r="G4" s="414">
        <v>113.946827</v>
      </c>
      <c r="H4" s="414">
        <f>G4*I4%</f>
        <v>111.9185734794</v>
      </c>
      <c r="I4" s="414">
        <v>98.22</v>
      </c>
    </row>
    <row r="5" spans="1:9" ht="14.25">
      <c r="A5" s="3" t="s">
        <v>67</v>
      </c>
      <c r="B5" s="395">
        <v>113.946827</v>
      </c>
      <c r="C5" s="396">
        <v>111.9185734794</v>
      </c>
      <c r="D5" s="396">
        <f>C5/B5*100</f>
        <v>98.22</v>
      </c>
      <c r="F5" s="414" t="s">
        <v>75</v>
      </c>
      <c r="G5" s="414">
        <v>181.906892</v>
      </c>
      <c r="H5" s="414">
        <f aca="true" t="shared" si="0" ref="H5:H16">G5*I5%</f>
        <v>172.8115474</v>
      </c>
      <c r="I5" s="414">
        <v>95</v>
      </c>
    </row>
    <row r="6" spans="1:9" ht="14.25">
      <c r="A6" s="3" t="s">
        <v>75</v>
      </c>
      <c r="B6" s="395">
        <v>181.906892</v>
      </c>
      <c r="C6" s="396">
        <v>172.8115474</v>
      </c>
      <c r="D6" s="396">
        <f aca="true" t="shared" si="1" ref="D6:D18">C6/B6*100</f>
        <v>95</v>
      </c>
      <c r="F6" s="414" t="s">
        <v>199</v>
      </c>
      <c r="G6" s="414">
        <v>147.47629</v>
      </c>
      <c r="H6" s="414">
        <f t="shared" si="0"/>
        <v>138.77518889</v>
      </c>
      <c r="I6" s="414">
        <v>94.1</v>
      </c>
    </row>
    <row r="7" spans="1:9" ht="14.25">
      <c r="A7" s="3" t="s">
        <v>199</v>
      </c>
      <c r="B7" s="395">
        <v>147.47629</v>
      </c>
      <c r="C7" s="396">
        <v>138.77518889</v>
      </c>
      <c r="D7" s="396">
        <f t="shared" si="1"/>
        <v>94.10000000000001</v>
      </c>
      <c r="F7" s="414" t="s">
        <v>247</v>
      </c>
      <c r="G7" s="414">
        <v>118.528269</v>
      </c>
      <c r="H7" s="414">
        <f t="shared" si="0"/>
        <v>102.4202772429</v>
      </c>
      <c r="I7" s="414">
        <v>86.41</v>
      </c>
    </row>
    <row r="8" spans="1:9" ht="14.25">
      <c r="A8" s="3" t="s">
        <v>247</v>
      </c>
      <c r="B8" s="395">
        <v>118.528269</v>
      </c>
      <c r="C8" s="396">
        <v>102.4202772429</v>
      </c>
      <c r="D8" s="396">
        <f t="shared" si="1"/>
        <v>86.41</v>
      </c>
      <c r="F8" s="414" t="s">
        <v>200</v>
      </c>
      <c r="G8" s="414">
        <v>69.558122</v>
      </c>
      <c r="H8" s="414">
        <f t="shared" si="0"/>
        <v>46.430046434999994</v>
      </c>
      <c r="I8" s="414">
        <v>66.75</v>
      </c>
    </row>
    <row r="9" spans="1:9" ht="14.25">
      <c r="A9" s="3" t="s">
        <v>200</v>
      </c>
      <c r="B9" s="395">
        <v>69.558122</v>
      </c>
      <c r="C9" s="396">
        <v>46.430046434999994</v>
      </c>
      <c r="D9" s="396">
        <f t="shared" si="1"/>
        <v>66.75</v>
      </c>
      <c r="F9" s="414" t="s">
        <v>68</v>
      </c>
      <c r="G9" s="414">
        <v>63.347284</v>
      </c>
      <c r="H9" s="414">
        <f t="shared" si="0"/>
        <v>39.6807386976</v>
      </c>
      <c r="I9" s="414">
        <v>62.64</v>
      </c>
    </row>
    <row r="10" spans="1:9" ht="14.25">
      <c r="A10" s="3" t="s">
        <v>68</v>
      </c>
      <c r="B10" s="395">
        <v>63.347284</v>
      </c>
      <c r="C10" s="396">
        <v>39.6807386976</v>
      </c>
      <c r="D10" s="396">
        <f t="shared" si="1"/>
        <v>62.63999999999999</v>
      </c>
      <c r="F10" s="414" t="s">
        <v>134</v>
      </c>
      <c r="G10" s="414">
        <v>41.520544</v>
      </c>
      <c r="H10" s="414">
        <f t="shared" si="0"/>
        <v>22.7781704384</v>
      </c>
      <c r="I10" s="414">
        <v>54.86</v>
      </c>
    </row>
    <row r="11" spans="1:9" ht="14.25">
      <c r="A11" s="3" t="s">
        <v>134</v>
      </c>
      <c r="B11" s="395">
        <v>41.520544</v>
      </c>
      <c r="C11" s="396">
        <v>22.7781704384</v>
      </c>
      <c r="D11" s="396">
        <f>C11/B11*100</f>
        <v>54.86</v>
      </c>
      <c r="F11" s="414" t="s">
        <v>1</v>
      </c>
      <c r="G11" s="414">
        <v>99.922347</v>
      </c>
      <c r="H11" s="414">
        <f t="shared" si="0"/>
        <v>53.9780518494</v>
      </c>
      <c r="I11" s="414">
        <v>54.02</v>
      </c>
    </row>
    <row r="12" spans="1:9" ht="14.25">
      <c r="A12" s="3" t="s">
        <v>1</v>
      </c>
      <c r="B12" s="395">
        <v>99.922347</v>
      </c>
      <c r="C12" s="396">
        <v>53.9780518494</v>
      </c>
      <c r="D12" s="396">
        <f>C12/B12*100</f>
        <v>54.02</v>
      </c>
      <c r="F12" s="414" t="s">
        <v>190</v>
      </c>
      <c r="G12" s="414">
        <v>14.880003</v>
      </c>
      <c r="H12" s="414">
        <f t="shared" si="0"/>
        <v>7.271857466099999</v>
      </c>
      <c r="I12" s="415">
        <v>48.87</v>
      </c>
    </row>
    <row r="13" spans="1:9" ht="14.25">
      <c r="A13" s="3" t="s">
        <v>190</v>
      </c>
      <c r="B13" s="395">
        <v>14.880003</v>
      </c>
      <c r="C13" s="396">
        <v>7.271857466099999</v>
      </c>
      <c r="D13" s="396">
        <f t="shared" si="1"/>
        <v>48.87</v>
      </c>
      <c r="F13" s="414" t="s">
        <v>201</v>
      </c>
      <c r="G13" s="414">
        <v>1.69665</v>
      </c>
      <c r="H13" s="414">
        <f t="shared" si="0"/>
        <v>0.81303468</v>
      </c>
      <c r="I13" s="414">
        <v>47.92</v>
      </c>
    </row>
    <row r="14" spans="1:9" ht="14.25">
      <c r="A14" s="3" t="s">
        <v>201</v>
      </c>
      <c r="B14" s="395">
        <v>1.69665</v>
      </c>
      <c r="C14" s="396">
        <v>0.81303468</v>
      </c>
      <c r="D14" s="396">
        <f t="shared" si="1"/>
        <v>47.92</v>
      </c>
      <c r="F14" s="414" t="s">
        <v>188</v>
      </c>
      <c r="G14" s="414">
        <v>3.028539</v>
      </c>
      <c r="H14" s="414">
        <f t="shared" si="0"/>
        <v>1.3746538521</v>
      </c>
      <c r="I14" s="414">
        <v>45.39</v>
      </c>
    </row>
    <row r="15" spans="1:9" ht="14.25">
      <c r="A15" s="3" t="s">
        <v>188</v>
      </c>
      <c r="B15" s="395">
        <v>3.028539</v>
      </c>
      <c r="C15" s="396">
        <v>1.3746538521</v>
      </c>
      <c r="D15" s="396">
        <f t="shared" si="1"/>
        <v>45.39</v>
      </c>
      <c r="F15" s="414" t="s">
        <v>2</v>
      </c>
      <c r="G15" s="414">
        <v>5.30264</v>
      </c>
      <c r="H15" s="414">
        <f t="shared" si="0"/>
        <v>2.047879568</v>
      </c>
      <c r="I15" s="414">
        <v>38.62</v>
      </c>
    </row>
    <row r="16" spans="1:9" ht="14.25">
      <c r="A16" s="3" t="s">
        <v>2</v>
      </c>
      <c r="B16" s="395">
        <v>5.30264</v>
      </c>
      <c r="C16" s="396">
        <v>2.047879568</v>
      </c>
      <c r="D16" s="396">
        <f t="shared" si="1"/>
        <v>38.62</v>
      </c>
      <c r="F16" s="414" t="s">
        <v>144</v>
      </c>
      <c r="G16" s="414">
        <v>3.640312</v>
      </c>
      <c r="H16" s="414">
        <f t="shared" si="0"/>
        <v>1.3210692248</v>
      </c>
      <c r="I16" s="414">
        <v>36.29</v>
      </c>
    </row>
    <row r="17" spans="1:8" ht="14.25">
      <c r="A17" s="397" t="s">
        <v>144</v>
      </c>
      <c r="B17" s="395">
        <v>3.640312</v>
      </c>
      <c r="C17" s="396">
        <v>1.3210692248</v>
      </c>
      <c r="D17" s="396">
        <f t="shared" si="1"/>
        <v>36.29</v>
      </c>
      <c r="H17" s="414">
        <f>SUM(H4:H16)</f>
        <v>701.6210892236999</v>
      </c>
    </row>
    <row r="18" spans="1:14" ht="15">
      <c r="A18" s="175" t="s">
        <v>47</v>
      </c>
      <c r="B18" s="395">
        <f>SUM(B5:B17)</f>
        <v>864.7547189999999</v>
      </c>
      <c r="C18" s="395">
        <f>SUM(C5:C17)</f>
        <v>701.6210892236999</v>
      </c>
      <c r="D18" s="396">
        <f t="shared" si="1"/>
        <v>81.13527151780711</v>
      </c>
      <c r="N18" s="415"/>
    </row>
    <row r="31" spans="12:17" ht="14.25">
      <c r="L31" s="414" t="s">
        <v>207</v>
      </c>
      <c r="Q31" s="419"/>
    </row>
    <row r="32" spans="1:15" ht="14.25">
      <c r="A32" s="177"/>
      <c r="B32" s="412" t="str">
        <f>A5</f>
        <v>Idea</v>
      </c>
      <c r="C32" s="412" t="str">
        <f>A6</f>
        <v>Bharti Airtel</v>
      </c>
      <c r="D32" s="412" t="str">
        <f>A7</f>
        <v>Vodaphone</v>
      </c>
      <c r="E32" s="412" t="str">
        <f>A8</f>
        <v>Reliance.</v>
      </c>
      <c r="F32" s="412" t="str">
        <f>A9</f>
        <v>Tata</v>
      </c>
      <c r="G32" s="412" t="str">
        <f>A10</f>
        <v>Aircel</v>
      </c>
      <c r="H32" s="451" t="str">
        <f>A11</f>
        <v>Uninor</v>
      </c>
      <c r="I32" s="412" t="str">
        <f>A12</f>
        <v>BSNL</v>
      </c>
      <c r="J32" s="452" t="str">
        <f>A13</f>
        <v>Sistema Shyam</v>
      </c>
      <c r="K32" s="452" t="str">
        <f>A14</f>
        <v>Quadrant</v>
      </c>
      <c r="L32" s="453" t="str">
        <f>A15</f>
        <v>Loop Mobile</v>
      </c>
      <c r="M32" s="412" t="str">
        <f>A16</f>
        <v>MTNL</v>
      </c>
      <c r="N32" s="412" t="str">
        <f>A17</f>
        <v>Vidiocon</v>
      </c>
      <c r="O32" s="420" t="s">
        <v>47</v>
      </c>
    </row>
    <row r="33" spans="1:15" ht="14.25">
      <c r="A33" s="177" t="s">
        <v>203</v>
      </c>
      <c r="B33" s="418">
        <f>B5</f>
        <v>113.946827</v>
      </c>
      <c r="C33" s="418">
        <f>B6</f>
        <v>181.906892</v>
      </c>
      <c r="D33" s="418">
        <f>B7</f>
        <v>147.47629</v>
      </c>
      <c r="E33" s="418">
        <f>B8</f>
        <v>118.528269</v>
      </c>
      <c r="F33" s="418">
        <f>B9</f>
        <v>69.558122</v>
      </c>
      <c r="G33" s="418">
        <f>B10</f>
        <v>63.347284</v>
      </c>
      <c r="H33" s="418">
        <f>B11</f>
        <v>41.520544</v>
      </c>
      <c r="I33" s="418">
        <f>B12</f>
        <v>99.922347</v>
      </c>
      <c r="J33" s="418">
        <f>B13</f>
        <v>14.880003</v>
      </c>
      <c r="K33" s="418">
        <f>B14</f>
        <v>1.69665</v>
      </c>
      <c r="L33" s="418">
        <f>B15</f>
        <v>3.028539</v>
      </c>
      <c r="M33" s="418">
        <f>B16</f>
        <v>5.30264</v>
      </c>
      <c r="N33" s="418">
        <f>B17</f>
        <v>3.640312</v>
      </c>
      <c r="O33" s="418">
        <f>B18</f>
        <v>864.7547189999999</v>
      </c>
    </row>
    <row r="34" spans="1:15" ht="14.25">
      <c r="A34" s="177" t="s">
        <v>204</v>
      </c>
      <c r="B34" s="418">
        <f>C5</f>
        <v>111.9185734794</v>
      </c>
      <c r="C34" s="418">
        <f>C6</f>
        <v>172.8115474</v>
      </c>
      <c r="D34" s="418">
        <f>C7</f>
        <v>138.77518889</v>
      </c>
      <c r="E34" s="418">
        <f>C8</f>
        <v>102.4202772429</v>
      </c>
      <c r="F34" s="418">
        <f>C9</f>
        <v>46.430046434999994</v>
      </c>
      <c r="G34" s="418">
        <f>C10</f>
        <v>39.6807386976</v>
      </c>
      <c r="H34" s="418">
        <f>C11</f>
        <v>22.7781704384</v>
      </c>
      <c r="I34" s="418">
        <f>C12</f>
        <v>53.9780518494</v>
      </c>
      <c r="J34" s="418">
        <f>C13</f>
        <v>7.271857466099999</v>
      </c>
      <c r="K34" s="418">
        <f>C14</f>
        <v>0.81303468</v>
      </c>
      <c r="L34" s="418">
        <f>C15</f>
        <v>1.3746538521</v>
      </c>
      <c r="M34" s="418">
        <f>C16</f>
        <v>2.047879568</v>
      </c>
      <c r="N34" s="418">
        <f>C17</f>
        <v>1.3210692248</v>
      </c>
      <c r="O34" s="418">
        <f>C18</f>
        <v>701.6210892236999</v>
      </c>
    </row>
    <row r="36" ht="14.25">
      <c r="A36" s="414" t="s">
        <v>208</v>
      </c>
    </row>
    <row r="38" spans="9:15" ht="14.25">
      <c r="I38" s="414">
        <f>I34/I33*100</f>
        <v>54.02</v>
      </c>
      <c r="O38" s="415">
        <f>O34/O33*100</f>
        <v>81.13527151780711</v>
      </c>
    </row>
    <row r="42" spans="2:3" ht="14.25">
      <c r="B42" s="415"/>
      <c r="C42" s="415"/>
    </row>
    <row r="43" spans="2:3" ht="14.25">
      <c r="B43" s="415"/>
      <c r="C43" s="415"/>
    </row>
    <row r="44" spans="2:3" ht="14.25">
      <c r="B44" s="415"/>
      <c r="C44" s="415"/>
    </row>
    <row r="45" spans="2:3" ht="14.25">
      <c r="B45" s="415"/>
      <c r="C45" s="415"/>
    </row>
    <row r="46" spans="2:3" ht="14.25">
      <c r="B46" s="415"/>
      <c r="C46" s="415"/>
    </row>
    <row r="47" spans="2:3" ht="14.25">
      <c r="B47" s="415"/>
      <c r="C47" s="415"/>
    </row>
    <row r="48" spans="2:3" ht="14.25">
      <c r="B48" s="415"/>
      <c r="C48" s="415"/>
    </row>
    <row r="49" spans="2:3" ht="14.25">
      <c r="B49" s="415"/>
      <c r="C49" s="415"/>
    </row>
    <row r="50" spans="2:3" ht="14.25">
      <c r="B50" s="415"/>
      <c r="C50" s="415"/>
    </row>
    <row r="51" spans="2:3" ht="14.25">
      <c r="B51" s="415"/>
      <c r="C51" s="415"/>
    </row>
    <row r="52" spans="2:3" ht="14.25">
      <c r="B52" s="415"/>
      <c r="C52" s="415"/>
    </row>
    <row r="53" spans="2:3" ht="14.25">
      <c r="B53" s="415"/>
      <c r="C53" s="415"/>
    </row>
    <row r="54" spans="2:3" ht="14.25">
      <c r="B54" s="415"/>
      <c r="C54" s="415"/>
    </row>
    <row r="55" spans="2:4" ht="14.25">
      <c r="B55" s="415"/>
      <c r="C55" s="415"/>
      <c r="D55" s="415"/>
    </row>
    <row r="57" ht="14.25">
      <c r="E57" s="415"/>
    </row>
  </sheetData>
  <sheetProtection/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9"/>
  <sheetViews>
    <sheetView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6" sqref="S6:S7"/>
    </sheetView>
  </sheetViews>
  <sheetFormatPr defaultColWidth="9.140625" defaultRowHeight="12.75"/>
  <cols>
    <col min="1" max="1" width="5.140625" style="0" customWidth="1"/>
    <col min="2" max="2" width="19.7109375" style="0" customWidth="1"/>
    <col min="3" max="3" width="12.00390625" style="0" customWidth="1"/>
    <col min="4" max="4" width="12.140625" style="0" customWidth="1"/>
    <col min="5" max="5" width="13.421875" style="0" customWidth="1"/>
    <col min="6" max="6" width="10.7109375" style="0" hidden="1" customWidth="1"/>
    <col min="7" max="7" width="13.140625" style="0" customWidth="1"/>
    <col min="8" max="9" width="15.140625" style="0" hidden="1" customWidth="1"/>
    <col min="10" max="11" width="13.140625" style="0" hidden="1" customWidth="1"/>
    <col min="12" max="12" width="13.57421875" style="0" hidden="1" customWidth="1"/>
    <col min="13" max="13" width="12.8515625" style="0" hidden="1" customWidth="1"/>
    <col min="14" max="14" width="10.7109375" style="0" hidden="1" customWidth="1"/>
    <col min="15" max="15" width="10.140625" style="0" hidden="1" customWidth="1"/>
    <col min="16" max="16" width="12.28125" style="0" hidden="1" customWidth="1"/>
    <col min="17" max="17" width="11.8515625" style="0" hidden="1" customWidth="1"/>
    <col min="18" max="18" width="10.140625" style="0" hidden="1" customWidth="1"/>
    <col min="19" max="19" width="13.140625" style="0" customWidth="1"/>
    <col min="20" max="20" width="13.00390625" style="0" customWidth="1"/>
    <col min="21" max="21" width="7.00390625" style="0" customWidth="1"/>
    <col min="22" max="22" width="6.57421875" style="0" customWidth="1"/>
    <col min="23" max="23" width="8.421875" style="0" bestFit="1" customWidth="1"/>
    <col min="24" max="24" width="7.28125" style="0" customWidth="1"/>
    <col min="25" max="25" width="9.00390625" style="2" customWidth="1"/>
    <col min="26" max="26" width="10.00390625" style="2" customWidth="1"/>
    <col min="27" max="27" width="10.8515625" style="41" customWidth="1"/>
    <col min="28" max="28" width="10.140625" style="41" customWidth="1"/>
    <col min="29" max="30" width="11.00390625" style="0" customWidth="1"/>
    <col min="31" max="31" width="18.00390625" style="41" hidden="1" customWidth="1"/>
    <col min="32" max="32" width="17.140625" style="41" hidden="1" customWidth="1"/>
    <col min="33" max="33" width="1.1484375" style="41" hidden="1" customWidth="1"/>
    <col min="34" max="34" width="13.57421875" style="0" bestFit="1" customWidth="1"/>
    <col min="35" max="35" width="10.00390625" style="0" bestFit="1" customWidth="1"/>
  </cols>
  <sheetData>
    <row r="1" ht="15">
      <c r="AC1" s="14" t="s">
        <v>111</v>
      </c>
    </row>
    <row r="2" spans="2:8" ht="14.25">
      <c r="B2" s="2" t="s">
        <v>192</v>
      </c>
      <c r="C2" s="2"/>
      <c r="D2" s="2"/>
      <c r="E2" s="2"/>
      <c r="G2" s="2" t="s">
        <v>251</v>
      </c>
      <c r="H2" s="2"/>
    </row>
    <row r="4" spans="2:33" ht="15">
      <c r="B4" s="26" t="s">
        <v>233</v>
      </c>
      <c r="T4" s="72"/>
      <c r="U4" s="72"/>
      <c r="AA4" s="39"/>
      <c r="AB4" s="39"/>
      <c r="AE4" s="39"/>
      <c r="AF4" s="39"/>
      <c r="AG4" s="39"/>
    </row>
    <row r="5" spans="3:33" ht="15">
      <c r="C5">
        <v>1</v>
      </c>
      <c r="D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AA5" s="39" t="s">
        <v>103</v>
      </c>
      <c r="AB5" s="39"/>
      <c r="AE5" s="39"/>
      <c r="AF5" s="39"/>
      <c r="AG5" s="39"/>
    </row>
    <row r="6" spans="1:33" ht="35.25" customHeight="1">
      <c r="A6" s="458" t="s">
        <v>62</v>
      </c>
      <c r="B6" s="458" t="s">
        <v>63</v>
      </c>
      <c r="C6" s="461" t="s">
        <v>155</v>
      </c>
      <c r="D6" s="462"/>
      <c r="E6" s="463"/>
      <c r="F6" s="166"/>
      <c r="G6" s="459" t="s">
        <v>104</v>
      </c>
      <c r="H6" s="166"/>
      <c r="I6" s="166"/>
      <c r="J6" s="166"/>
      <c r="K6" s="166"/>
      <c r="L6" s="167"/>
      <c r="M6" s="166"/>
      <c r="N6" s="166"/>
      <c r="O6" s="166"/>
      <c r="P6" s="166"/>
      <c r="Q6" s="178"/>
      <c r="R6" s="178"/>
      <c r="S6" s="459" t="s">
        <v>69</v>
      </c>
      <c r="T6" s="458" t="s">
        <v>70</v>
      </c>
      <c r="U6" s="458" t="s">
        <v>128</v>
      </c>
      <c r="V6" s="458"/>
      <c r="W6" s="458"/>
      <c r="X6" s="458" t="s">
        <v>128</v>
      </c>
      <c r="Y6" s="458"/>
      <c r="Z6" s="467" t="s">
        <v>129</v>
      </c>
      <c r="AA6" s="469" t="s">
        <v>102</v>
      </c>
      <c r="AB6" s="471" t="s">
        <v>249</v>
      </c>
      <c r="AC6" s="472"/>
      <c r="AD6" s="473"/>
      <c r="AE6" s="464" t="s">
        <v>86</v>
      </c>
      <c r="AF6" s="465"/>
      <c r="AG6" s="466"/>
    </row>
    <row r="7" spans="1:33" ht="30" customHeight="1">
      <c r="A7" s="458"/>
      <c r="B7" s="458"/>
      <c r="C7" s="49" t="s">
        <v>87</v>
      </c>
      <c r="D7" s="49" t="s">
        <v>88</v>
      </c>
      <c r="E7" s="49" t="s">
        <v>89</v>
      </c>
      <c r="F7" s="49" t="s">
        <v>2</v>
      </c>
      <c r="G7" s="460"/>
      <c r="H7" s="49" t="s">
        <v>3</v>
      </c>
      <c r="I7" s="49" t="s">
        <v>65</v>
      </c>
      <c r="J7" s="49" t="s">
        <v>145</v>
      </c>
      <c r="K7" s="49" t="s">
        <v>66</v>
      </c>
      <c r="L7" s="49" t="s">
        <v>67</v>
      </c>
      <c r="M7" s="49" t="s">
        <v>68</v>
      </c>
      <c r="N7" s="49" t="s">
        <v>5</v>
      </c>
      <c r="O7" s="49" t="s">
        <v>76</v>
      </c>
      <c r="P7" s="49" t="s">
        <v>72</v>
      </c>
      <c r="Q7" s="165" t="s">
        <v>134</v>
      </c>
      <c r="R7" s="165" t="s">
        <v>146</v>
      </c>
      <c r="S7" s="460"/>
      <c r="T7" s="458"/>
      <c r="U7" s="164" t="s">
        <v>90</v>
      </c>
      <c r="V7" s="164" t="s">
        <v>91</v>
      </c>
      <c r="W7" s="164" t="s">
        <v>92</v>
      </c>
      <c r="X7" s="49" t="s">
        <v>105</v>
      </c>
      <c r="Y7" s="47" t="s">
        <v>93</v>
      </c>
      <c r="Z7" s="468"/>
      <c r="AA7" s="470"/>
      <c r="AB7" s="51" t="s">
        <v>47</v>
      </c>
      <c r="AC7" s="51" t="s">
        <v>87</v>
      </c>
      <c r="AD7" s="51" t="s">
        <v>88</v>
      </c>
      <c r="AE7" s="40" t="s">
        <v>87</v>
      </c>
      <c r="AF7" s="40" t="s">
        <v>88</v>
      </c>
      <c r="AG7" s="40" t="s">
        <v>47</v>
      </c>
    </row>
    <row r="8" spans="1:33" ht="18.75" customHeight="1">
      <c r="A8" s="5">
        <v>1</v>
      </c>
      <c r="B8" s="6" t="s">
        <v>21</v>
      </c>
      <c r="C8" s="60">
        <f>'Anne-8'!R9+'Anne-7'!Q9+'Anne-7'!T9+'Anne-6'!AC9</f>
        <v>129945</v>
      </c>
      <c r="D8" s="60">
        <f>'Anne-8'!S9+'Anne-7'!R9+'Anne-7'!U9+'Anne-6'!AD9</f>
        <v>95615</v>
      </c>
      <c r="E8" s="58">
        <f>C8+D8</f>
        <v>225560</v>
      </c>
      <c r="F8" s="58"/>
      <c r="G8" s="379" t="s">
        <v>196</v>
      </c>
      <c r="H8" s="379" t="s">
        <v>196</v>
      </c>
      <c r="I8" s="379" t="s">
        <v>196</v>
      </c>
      <c r="J8" s="379" t="s">
        <v>196</v>
      </c>
      <c r="K8" s="379" t="s">
        <v>196</v>
      </c>
      <c r="L8" s="379" t="s">
        <v>196</v>
      </c>
      <c r="M8" s="379" t="s">
        <v>196</v>
      </c>
      <c r="N8" s="379" t="s">
        <v>196</v>
      </c>
      <c r="O8" s="379" t="s">
        <v>196</v>
      </c>
      <c r="P8" s="379" t="s">
        <v>196</v>
      </c>
      <c r="Q8" s="379" t="s">
        <v>196</v>
      </c>
      <c r="R8" s="379" t="s">
        <v>196</v>
      </c>
      <c r="S8" s="379" t="s">
        <v>196</v>
      </c>
      <c r="T8" s="379" t="s">
        <v>196</v>
      </c>
      <c r="U8" s="151">
        <f aca="true" t="shared" si="0" ref="U8:U31">C8/(AC8*1000)*100</f>
        <v>87.35262563948494</v>
      </c>
      <c r="V8" s="151">
        <f aca="true" t="shared" si="1" ref="V8:V31">D8/(AD8*1000)*100</f>
        <v>41.212905460008315</v>
      </c>
      <c r="W8" s="151">
        <f aca="true" t="shared" si="2" ref="W8:W34">E8/(AB8*1000)*100</f>
        <v>59.23915241271881</v>
      </c>
      <c r="X8" s="151"/>
      <c r="Y8" s="151"/>
      <c r="Z8" s="152"/>
      <c r="AA8" s="58"/>
      <c r="AB8" s="58">
        <f aca="true" t="shared" si="3" ref="AB8:AB33">AC8+AD8</f>
        <v>380.7616935983906</v>
      </c>
      <c r="AC8" s="58">
        <f>'Anne-4'!Z8</f>
        <v>148.75912320746838</v>
      </c>
      <c r="AD8" s="58">
        <f>'Anne-4'!AA8</f>
        <v>232.0025703909222</v>
      </c>
      <c r="AE8" s="58">
        <v>116406.79106989368</v>
      </c>
      <c r="AF8" s="58">
        <v>239858.20645933464</v>
      </c>
      <c r="AG8" s="58">
        <f aca="true" t="shared" si="4" ref="AG8:AG33">SUM(AE8:AF8)</f>
        <v>356264.99752922833</v>
      </c>
    </row>
    <row r="9" spans="1:33" ht="14.25">
      <c r="A9" s="5">
        <v>2</v>
      </c>
      <c r="B9" s="6" t="s">
        <v>22</v>
      </c>
      <c r="C9" s="60">
        <f>'Anne-8'!R10+'Anne-7'!Q10+'Anne-7'!T10+'Anne-6'!AC10</f>
        <v>5630160</v>
      </c>
      <c r="D9" s="60">
        <f>'Anne-8'!S10+'Anne-7'!R10+'Anne-7'!U10+'Anne-6'!AD10</f>
        <v>5495218</v>
      </c>
      <c r="E9" s="58">
        <f aca="true" t="shared" si="5" ref="E9:E33">C9+D9</f>
        <v>11125378</v>
      </c>
      <c r="F9" s="58"/>
      <c r="G9" s="58">
        <f>E9</f>
        <v>11125378</v>
      </c>
      <c r="H9" s="58">
        <f>'Anne-6'!G10+'Anne-8'!H10</f>
        <v>18010683</v>
      </c>
      <c r="I9" s="58">
        <f>'Anne-6'!S10+'Anne-7'!I10+'Anne-8'!I10</f>
        <v>6868533</v>
      </c>
      <c r="J9" s="58">
        <f>'Anne-6'!I10+'Anne-8'!M10</f>
        <v>5694251</v>
      </c>
      <c r="K9" s="58">
        <f>'Anne-7'!J10+'Anne-8'!J10</f>
        <v>6829436</v>
      </c>
      <c r="L9" s="58">
        <f>'Anne-6'!N10</f>
        <v>10838496</v>
      </c>
      <c r="M9" s="58">
        <f>'Anne-6'!K10</f>
        <v>1802320</v>
      </c>
      <c r="N9" s="217">
        <f>'Anne-6'!X10</f>
        <v>0</v>
      </c>
      <c r="O9" s="58"/>
      <c r="P9" s="58">
        <f>'Anne-7'!L10+'Anne-8'!L10</f>
        <v>637894</v>
      </c>
      <c r="Q9" s="58">
        <f>'Anne-4'!O9</f>
        <v>4226266</v>
      </c>
      <c r="R9" s="58">
        <f>'Anne-6'!W10</f>
        <v>0</v>
      </c>
      <c r="S9" s="58">
        <f aca="true" t="shared" si="6" ref="S9:S37">H9+I9+K9+J9+L9+M9+N9+O9+P9+Q9+R9</f>
        <v>54907879</v>
      </c>
      <c r="T9" s="58">
        <f aca="true" t="shared" si="7" ref="T9:T33">G9+S9</f>
        <v>66033257</v>
      </c>
      <c r="U9" s="151">
        <f t="shared" si="0"/>
        <v>23.758646355403705</v>
      </c>
      <c r="V9" s="151">
        <f t="shared" si="1"/>
        <v>8.892451765324857</v>
      </c>
      <c r="W9" s="151">
        <f t="shared" si="2"/>
        <v>13.013090372006655</v>
      </c>
      <c r="X9" s="151">
        <f>G9/(AA9*1000)*100</f>
        <v>13.013090372006655</v>
      </c>
      <c r="Y9" s="151">
        <f>T9/(AA9*1000)*100</f>
        <v>77.23753214488002</v>
      </c>
      <c r="Z9" s="152">
        <f>G9/T9*100</f>
        <v>16.84814365585511</v>
      </c>
      <c r="AA9" s="58">
        <f>AB9</f>
        <v>85493.74270029322</v>
      </c>
      <c r="AB9" s="58">
        <f t="shared" si="3"/>
        <v>85493.74270029322</v>
      </c>
      <c r="AC9" s="58">
        <f>'Anne-4'!Z9</f>
        <v>23697.309668989063</v>
      </c>
      <c r="AD9" s="58">
        <f>'Anne-4'!AA9</f>
        <v>61796.43303130416</v>
      </c>
      <c r="AE9" s="58">
        <v>20503596.770689454</v>
      </c>
      <c r="AF9" s="58">
        <v>55223944.34664992</v>
      </c>
      <c r="AG9" s="58">
        <f t="shared" si="4"/>
        <v>75727541.11733937</v>
      </c>
    </row>
    <row r="10" spans="1:33" ht="14.25">
      <c r="A10" s="5">
        <v>3</v>
      </c>
      <c r="B10" s="6" t="s">
        <v>23</v>
      </c>
      <c r="C10" s="60">
        <f>'Anne-8'!R11+'Anne-7'!Q11+'Anne-7'!T11+'Anne-6'!AC11</f>
        <v>981916</v>
      </c>
      <c r="D10" s="60">
        <f>'Anne-8'!S11+'Anne-7'!R11+'Anne-7'!U11+'Anne-6'!AD11</f>
        <v>442967</v>
      </c>
      <c r="E10" s="58">
        <f t="shared" si="5"/>
        <v>1424883</v>
      </c>
      <c r="F10" s="58"/>
      <c r="G10" s="58">
        <f>E10</f>
        <v>1424883</v>
      </c>
      <c r="H10" s="58">
        <f>'Anne-6'!G11+'Anne-8'!H11</f>
        <v>3851324</v>
      </c>
      <c r="I10" s="58">
        <f>'Anne-6'!S11+'Anne-7'!I11+'Anne-8'!I11</f>
        <v>3048336</v>
      </c>
      <c r="J10" s="58">
        <f>'Anne-6'!I11+'Anne-8'!M11</f>
        <v>2208181</v>
      </c>
      <c r="K10" s="58">
        <f>'Anne-7'!J11+'Anne-8'!J11</f>
        <v>0</v>
      </c>
      <c r="L10" s="58">
        <f>'Anne-6'!N11</f>
        <v>382840</v>
      </c>
      <c r="M10" s="58">
        <f>'Anne-6'!K11</f>
        <v>3550416</v>
      </c>
      <c r="N10" s="217">
        <f>'Anne-6'!X11</f>
        <v>0</v>
      </c>
      <c r="O10" s="58"/>
      <c r="P10" s="58">
        <f>'Anne-7'!L11+'Anne-8'!L11</f>
        <v>1280</v>
      </c>
      <c r="Q10" s="58">
        <f>'Anne-4'!O10</f>
        <v>776</v>
      </c>
      <c r="R10" s="58">
        <f>'Anne-6'!W11</f>
        <v>0</v>
      </c>
      <c r="S10" s="58">
        <f t="shared" si="6"/>
        <v>13043153</v>
      </c>
      <c r="T10" s="58">
        <f t="shared" si="7"/>
        <v>14468036</v>
      </c>
      <c r="U10" s="151">
        <f t="shared" si="0"/>
        <v>20.6570751216269</v>
      </c>
      <c r="V10" s="151">
        <f t="shared" si="1"/>
        <v>1.6385279452855819</v>
      </c>
      <c r="W10" s="151">
        <f t="shared" si="2"/>
        <v>4.48247518236541</v>
      </c>
      <c r="X10" s="151">
        <f>G10/(AA10*1000)*100</f>
        <v>4.48247518236541</v>
      </c>
      <c r="Y10" s="151">
        <f aca="true" t="shared" si="8" ref="Y10:Y37">T10/(AA10*1000)*100</f>
        <v>45.514342095154</v>
      </c>
      <c r="Z10" s="152">
        <f>G10/T10*100</f>
        <v>9.848489456343627</v>
      </c>
      <c r="AA10" s="58">
        <f>AB10</f>
        <v>31787.861438824224</v>
      </c>
      <c r="AB10" s="58">
        <f t="shared" si="3"/>
        <v>31787.861438824224</v>
      </c>
      <c r="AC10" s="58">
        <f>'Anne-4'!Z10</f>
        <v>4753.412543734153</v>
      </c>
      <c r="AD10" s="58">
        <f>'Anne-4'!AA10</f>
        <v>27034.44889509007</v>
      </c>
      <c r="AE10" s="58">
        <v>3389412.621950967</v>
      </c>
      <c r="AF10" s="58">
        <v>23248993.858922884</v>
      </c>
      <c r="AG10" s="58">
        <f t="shared" si="4"/>
        <v>26638406.48087385</v>
      </c>
    </row>
    <row r="11" spans="1:33" ht="14.25">
      <c r="A11" s="5">
        <v>4</v>
      </c>
      <c r="B11" s="6" t="s">
        <v>24</v>
      </c>
      <c r="C11" s="60">
        <f>'Anne-8'!R12+'Anne-7'!Q12+'Anne-7'!T12+'Anne-6'!AC12</f>
        <v>2904006</v>
      </c>
      <c r="D11" s="60">
        <f>'Anne-8'!S12+'Anne-7'!R12+'Anne-7'!U12+'Anne-6'!AD12</f>
        <v>1590824</v>
      </c>
      <c r="E11" s="58">
        <f t="shared" si="5"/>
        <v>4494830</v>
      </c>
      <c r="F11" s="58"/>
      <c r="G11" s="58">
        <f>E11+E17</f>
        <v>6351773</v>
      </c>
      <c r="H11" s="58">
        <f>'Anne-6'!G12+'Anne-8'!H12</f>
        <v>18798853</v>
      </c>
      <c r="I11" s="58">
        <f>'Anne-6'!S12+'Anne-7'!I12+'Anne-8'!I12</f>
        <v>9210270</v>
      </c>
      <c r="J11" s="58">
        <f>'Anne-6'!I12+'Anne-8'!M12</f>
        <v>6382003</v>
      </c>
      <c r="K11" s="58">
        <f>'Anne-7'!J12+'Anne-8'!J12</f>
        <v>3756391</v>
      </c>
      <c r="L11" s="58">
        <f>'Anne-6'!N12</f>
        <v>5587271</v>
      </c>
      <c r="M11" s="58">
        <f>'Anne-6'!K12</f>
        <v>4767543</v>
      </c>
      <c r="N11" s="217">
        <f>'Anne-6'!X12</f>
        <v>0</v>
      </c>
      <c r="O11" s="58"/>
      <c r="P11" s="58">
        <f>'Anne-7'!L12+'Anne-8'!L12</f>
        <v>1314278</v>
      </c>
      <c r="Q11" s="58">
        <f>'Anne-4'!O11</f>
        <v>4750129</v>
      </c>
      <c r="R11" s="58">
        <f>'Anne-6'!W12</f>
        <v>18596</v>
      </c>
      <c r="S11" s="58">
        <f t="shared" si="6"/>
        <v>54585334</v>
      </c>
      <c r="T11" s="58">
        <f t="shared" si="7"/>
        <v>60937107</v>
      </c>
      <c r="U11" s="151">
        <f t="shared" si="0"/>
        <v>25.721335263325408</v>
      </c>
      <c r="V11" s="151">
        <f t="shared" si="1"/>
        <v>1.656536848761054</v>
      </c>
      <c r="W11" s="151">
        <f t="shared" si="2"/>
        <v>4.188118180133562</v>
      </c>
      <c r="X11" s="151">
        <f>G11/(AA11*1000)*100</f>
        <v>4.496775006264061</v>
      </c>
      <c r="Y11" s="151">
        <f t="shared" si="8"/>
        <v>43.140782850967554</v>
      </c>
      <c r="Z11" s="152">
        <f>G11/T11*100</f>
        <v>10.423489582464098</v>
      </c>
      <c r="AA11" s="58">
        <f>AB11+AB17</f>
        <v>141251.74132910598</v>
      </c>
      <c r="AB11" s="58">
        <f t="shared" si="3"/>
        <v>107323.38025515452</v>
      </c>
      <c r="AC11" s="58">
        <f>'Anne-4'!Z11</f>
        <v>11290.261451319977</v>
      </c>
      <c r="AD11" s="58">
        <f>'Anne-4'!AA11</f>
        <v>96033.11880383454</v>
      </c>
      <c r="AE11" s="58">
        <v>8679199.657414034</v>
      </c>
      <c r="AF11" s="58">
        <v>74199595.5407804</v>
      </c>
      <c r="AG11" s="58">
        <f t="shared" si="4"/>
        <v>82878795.19819443</v>
      </c>
    </row>
    <row r="12" spans="1:33" ht="14.25">
      <c r="A12" s="5">
        <v>5</v>
      </c>
      <c r="B12" s="6" t="s">
        <v>25</v>
      </c>
      <c r="C12" s="60">
        <f>'Anne-8'!R13+'Anne-7'!Q13+'Anne-7'!T13+'Anne-6'!AC13</f>
        <v>1185501</v>
      </c>
      <c r="D12" s="60">
        <f>'Anne-8'!S13+'Anne-7'!R13+'Anne-7'!U13+'Anne-6'!AD13</f>
        <v>637904</v>
      </c>
      <c r="E12" s="58">
        <f t="shared" si="5"/>
        <v>1823405</v>
      </c>
      <c r="F12" s="58"/>
      <c r="G12" s="379" t="s">
        <v>196</v>
      </c>
      <c r="H12" s="379" t="s">
        <v>196</v>
      </c>
      <c r="I12" s="379" t="s">
        <v>196</v>
      </c>
      <c r="J12" s="379" t="s">
        <v>196</v>
      </c>
      <c r="K12" s="379" t="s">
        <v>196</v>
      </c>
      <c r="L12" s="379" t="s">
        <v>196</v>
      </c>
      <c r="M12" s="379" t="s">
        <v>196</v>
      </c>
      <c r="N12" s="379" t="s">
        <v>196</v>
      </c>
      <c r="O12" s="379" t="s">
        <v>196</v>
      </c>
      <c r="P12" s="379" t="s">
        <v>196</v>
      </c>
      <c r="Q12" s="379" t="s">
        <v>196</v>
      </c>
      <c r="R12" s="379" t="s">
        <v>196</v>
      </c>
      <c r="S12" s="379" t="s">
        <v>196</v>
      </c>
      <c r="T12" s="379" t="s">
        <v>196</v>
      </c>
      <c r="U12" s="151">
        <f t="shared" si="0"/>
        <v>19.5285096451182</v>
      </c>
      <c r="V12" s="151">
        <f t="shared" si="1"/>
        <v>3.1538819932693736</v>
      </c>
      <c r="W12" s="151">
        <f t="shared" si="2"/>
        <v>6.93399226000008</v>
      </c>
      <c r="X12" s="151"/>
      <c r="Y12" s="151"/>
      <c r="Z12" s="152"/>
      <c r="AA12" s="58"/>
      <c r="AB12" s="58">
        <f t="shared" si="3"/>
        <v>26296.611412715636</v>
      </c>
      <c r="AC12" s="58">
        <f>'Anne-4'!Z12</f>
        <v>6070.616865001551</v>
      </c>
      <c r="AD12" s="58">
        <f>'Anne-4'!AA12</f>
        <v>20225.994547714086</v>
      </c>
      <c r="AE12" s="58">
        <v>4175328.943641984</v>
      </c>
      <c r="AF12" s="58">
        <v>16620627.447467273</v>
      </c>
      <c r="AG12" s="58">
        <f t="shared" si="4"/>
        <v>20795956.391109258</v>
      </c>
    </row>
    <row r="13" spans="1:33" ht="14.25">
      <c r="A13" s="5">
        <v>6</v>
      </c>
      <c r="B13" s="6" t="s">
        <v>26</v>
      </c>
      <c r="C13" s="60">
        <f>'Anne-8'!R14+'Anne-7'!Q14+'Anne-7'!T14+'Anne-6'!AC14</f>
        <v>3937404</v>
      </c>
      <c r="D13" s="60">
        <f>'Anne-8'!S14+'Anne-7'!R14+'Anne-7'!U14+'Anne-6'!AD14</f>
        <v>1892224</v>
      </c>
      <c r="E13" s="58">
        <f t="shared" si="5"/>
        <v>5829628</v>
      </c>
      <c r="F13" s="58"/>
      <c r="G13" s="58">
        <f>E13</f>
        <v>5829628</v>
      </c>
      <c r="H13" s="58">
        <f>'Anne-6'!G14+'Anne-8'!H14</f>
        <v>7038899</v>
      </c>
      <c r="I13" s="58">
        <f>'Anne-6'!S14+'Anne-7'!I14+'Anne-8'!I14</f>
        <v>6824095</v>
      </c>
      <c r="J13" s="58">
        <f>'Anne-6'!I14+'Anne-8'!M14</f>
        <v>15811356</v>
      </c>
      <c r="K13" s="58">
        <f>'Anne-7'!J14+'Anne-8'!J14</f>
        <v>3025361</v>
      </c>
      <c r="L13" s="58">
        <f>'Anne-6'!N14</f>
        <v>8226195</v>
      </c>
      <c r="M13" s="58">
        <f>'Anne-6'!K14</f>
        <v>294655</v>
      </c>
      <c r="N13" s="217">
        <f>'Anne-6'!X14</f>
        <v>0</v>
      </c>
      <c r="O13" s="58"/>
      <c r="P13" s="58">
        <f>'Anne-7'!L14+'Anne-8'!L14</f>
        <v>224103</v>
      </c>
      <c r="Q13" s="58">
        <f>'Anne-4'!O13</f>
        <v>4650839</v>
      </c>
      <c r="R13" s="58">
        <f>'Anne-6'!W14</f>
        <v>618785</v>
      </c>
      <c r="S13" s="58">
        <f t="shared" si="6"/>
        <v>46714288</v>
      </c>
      <c r="T13" s="58">
        <f t="shared" si="7"/>
        <v>52543916</v>
      </c>
      <c r="U13" s="151">
        <f t="shared" si="0"/>
        <v>15.638461585249589</v>
      </c>
      <c r="V13" s="151">
        <f t="shared" si="1"/>
        <v>5.076610457759494</v>
      </c>
      <c r="W13" s="151">
        <f t="shared" si="2"/>
        <v>9.334713070119946</v>
      </c>
      <c r="X13" s="151">
        <f>G13/(AA13*1000)*100</f>
        <v>9.334713070119946</v>
      </c>
      <c r="Y13" s="151">
        <f t="shared" si="8"/>
        <v>84.1361368925229</v>
      </c>
      <c r="Z13" s="152">
        <f>G13/T13*100</f>
        <v>11.094772608878257</v>
      </c>
      <c r="AA13" s="58">
        <f>AB13</f>
        <v>62451.06792473797</v>
      </c>
      <c r="AB13" s="58">
        <f t="shared" si="3"/>
        <v>62451.06792473797</v>
      </c>
      <c r="AC13" s="58">
        <f>'Anne-4'!Z13</f>
        <v>25177.69397287655</v>
      </c>
      <c r="AD13" s="58">
        <f>'Anne-4'!AA13</f>
        <v>37273.37395186142</v>
      </c>
      <c r="AE13" s="58">
        <v>19007152.295442946</v>
      </c>
      <c r="AF13" s="58">
        <v>31968350.23018353</v>
      </c>
      <c r="AG13" s="58">
        <f t="shared" si="4"/>
        <v>50975502.52562648</v>
      </c>
    </row>
    <row r="14" spans="1:33" ht="14.25">
      <c r="A14" s="5">
        <v>7</v>
      </c>
      <c r="B14" s="6" t="s">
        <v>27</v>
      </c>
      <c r="C14" s="60">
        <f>'Anne-8'!R15+'Anne-7'!Q15+'Anne-7'!T15+'Anne-6'!AC15</f>
        <v>1666296</v>
      </c>
      <c r="D14" s="60">
        <f>'Anne-8'!S15+'Anne-7'!R15+'Anne-7'!U15+'Anne-6'!AD15</f>
        <v>1895957</v>
      </c>
      <c r="E14" s="58">
        <f t="shared" si="5"/>
        <v>3562253</v>
      </c>
      <c r="F14" s="58"/>
      <c r="G14" s="58">
        <f>E14</f>
        <v>3562253</v>
      </c>
      <c r="H14" s="58">
        <f>'Anne-6'!G15+'Anne-8'!H15</f>
        <v>2284643</v>
      </c>
      <c r="I14" s="58">
        <f>'Anne-6'!S15+'Anne-7'!I15+'Anne-8'!I15</f>
        <v>2132723</v>
      </c>
      <c r="J14" s="58">
        <f>'Anne-6'!I15+'Anne-8'!M15</f>
        <v>4460102</v>
      </c>
      <c r="K14" s="58">
        <f>'Anne-7'!J15+'Anne-8'!J15</f>
        <v>2695223</v>
      </c>
      <c r="L14" s="58">
        <f>'Anne-6'!N15</f>
        <v>3614670</v>
      </c>
      <c r="M14" s="58">
        <f>'Anne-6'!K15</f>
        <v>185758</v>
      </c>
      <c r="N14" s="217">
        <f>'Anne-6'!X15</f>
        <v>0</v>
      </c>
      <c r="O14" s="58"/>
      <c r="P14" s="58">
        <f>'Anne-7'!L15+'Anne-8'!L15</f>
        <v>147716</v>
      </c>
      <c r="Q14" s="58">
        <f>'Anne-4'!O14</f>
        <v>405</v>
      </c>
      <c r="R14" s="58">
        <f>'Anne-6'!W15</f>
        <v>794797</v>
      </c>
      <c r="S14" s="58">
        <f t="shared" si="6"/>
        <v>16316037</v>
      </c>
      <c r="T14" s="58">
        <f t="shared" si="7"/>
        <v>19878290</v>
      </c>
      <c r="U14" s="151">
        <f t="shared" si="0"/>
        <v>19.06506155065536</v>
      </c>
      <c r="V14" s="151">
        <f t="shared" si="1"/>
        <v>10.993492861486157</v>
      </c>
      <c r="W14" s="151">
        <f t="shared" si="2"/>
        <v>13.70823564636495</v>
      </c>
      <c r="X14" s="151">
        <f>G14/(AA14*1000)*100</f>
        <v>13.70823564636495</v>
      </c>
      <c r="Y14" s="151">
        <f t="shared" si="8"/>
        <v>76.49548854805649</v>
      </c>
      <c r="Z14" s="152">
        <f>G14/T14*100</f>
        <v>17.92031910189458</v>
      </c>
      <c r="AA14" s="58">
        <f>AB14</f>
        <v>25986.225302047624</v>
      </c>
      <c r="AB14" s="58">
        <f t="shared" si="3"/>
        <v>25986.225302047624</v>
      </c>
      <c r="AC14" s="58">
        <f>'Anne-4'!Z14</f>
        <v>8740.050461272815</v>
      </c>
      <c r="AD14" s="58">
        <f>'Anne-4'!AA14</f>
        <v>17246.17484077481</v>
      </c>
      <c r="AE14" s="58">
        <v>6114139.1012478005</v>
      </c>
      <c r="AF14" s="58">
        <v>14968849.58738658</v>
      </c>
      <c r="AG14" s="58">
        <f t="shared" si="4"/>
        <v>21082988.68863438</v>
      </c>
    </row>
    <row r="15" spans="1:33" s="388" customFormat="1" ht="14.25">
      <c r="A15" s="383">
        <v>8</v>
      </c>
      <c r="B15" s="384" t="s">
        <v>28</v>
      </c>
      <c r="C15" s="86">
        <f>'Anne-8'!R16+'Anne-7'!Q16+'Anne-7'!T16+'Anne-6'!AC16</f>
        <v>663599</v>
      </c>
      <c r="D15" s="86">
        <f>'Anne-8'!S16+'Anne-7'!R16+'Anne-7'!U16+'Anne-6'!AD16</f>
        <v>1221046</v>
      </c>
      <c r="E15" s="86">
        <f t="shared" si="5"/>
        <v>1884645</v>
      </c>
      <c r="F15" s="86"/>
      <c r="G15" s="86">
        <f>E15</f>
        <v>1884645</v>
      </c>
      <c r="H15" s="86">
        <f>'Anne-6'!G16+'Anne-8'!H16</f>
        <v>1914645</v>
      </c>
      <c r="I15" s="86">
        <f>'Anne-6'!S16+'Anne-7'!I16+'Anne-8'!I16</f>
        <v>1471304</v>
      </c>
      <c r="J15" s="58">
        <f>'Anne-6'!I16+'Anne-8'!M16</f>
        <v>476232</v>
      </c>
      <c r="K15" s="86">
        <f>'Anne-7'!J16+'Anne-8'!J16</f>
        <v>192620</v>
      </c>
      <c r="L15" s="86">
        <f>'Anne-6'!N16</f>
        <v>448972</v>
      </c>
      <c r="M15" s="86">
        <f>'Anne-6'!K16</f>
        <v>699378</v>
      </c>
      <c r="N15" s="385">
        <f>'Anne-6'!X16</f>
        <v>0</v>
      </c>
      <c r="O15" s="86"/>
      <c r="P15" s="86">
        <f>'Anne-7'!L16+'Anne-8'!L16</f>
        <v>71</v>
      </c>
      <c r="Q15" s="86">
        <f>'Anne-4'!O15</f>
        <v>143</v>
      </c>
      <c r="R15" s="86">
        <f>'Anne-6'!W16</f>
        <v>0</v>
      </c>
      <c r="S15" s="86">
        <f t="shared" si="6"/>
        <v>5203365</v>
      </c>
      <c r="T15" s="86">
        <f t="shared" si="7"/>
        <v>7088010</v>
      </c>
      <c r="U15" s="386">
        <f t="shared" si="0"/>
        <v>86.55808282110897</v>
      </c>
      <c r="V15" s="386">
        <f t="shared" si="1"/>
        <v>19.76708365259302</v>
      </c>
      <c r="W15" s="386">
        <f t="shared" si="2"/>
        <v>27.141329107677215</v>
      </c>
      <c r="X15" s="386">
        <f>G15/(AA15*1000)*100</f>
        <v>27.141329107677215</v>
      </c>
      <c r="Y15" s="386">
        <f t="shared" si="8"/>
        <v>102.0765248248382</v>
      </c>
      <c r="Z15" s="387">
        <f>G15/T15*100</f>
        <v>26.58919781433717</v>
      </c>
      <c r="AA15" s="86">
        <f>AB15</f>
        <v>6943.819856879846</v>
      </c>
      <c r="AB15" s="86">
        <f t="shared" si="3"/>
        <v>6943.819856879846</v>
      </c>
      <c r="AC15" s="86">
        <f>'Anne-4'!Z15</f>
        <v>766.6516844781223</v>
      </c>
      <c r="AD15" s="86">
        <f>'Anne-4'!AA15</f>
        <v>6177.1681724017235</v>
      </c>
      <c r="AE15" s="86">
        <v>594880.8567659298</v>
      </c>
      <c r="AF15" s="86">
        <v>5482366.869364679</v>
      </c>
      <c r="AG15" s="86">
        <f t="shared" si="4"/>
        <v>6077247.7261306085</v>
      </c>
    </row>
    <row r="16" spans="1:33" ht="14.25">
      <c r="A16" s="5">
        <v>9</v>
      </c>
      <c r="B16" s="6" t="s">
        <v>29</v>
      </c>
      <c r="C16" s="60">
        <f>'Anne-8'!R17+'Anne-7'!Q17+'Anne-7'!T17+'Anne-6'!AC17</f>
        <v>1191990</v>
      </c>
      <c r="D16" s="60">
        <f>'Anne-8'!S17+'Anne-7'!R17+'Anne-7'!U17+'Anne-6'!AD17</f>
        <v>168416</v>
      </c>
      <c r="E16" s="58">
        <f t="shared" si="5"/>
        <v>1360406</v>
      </c>
      <c r="F16" s="58"/>
      <c r="G16" s="58">
        <f>E16</f>
        <v>1360406</v>
      </c>
      <c r="H16" s="58">
        <f>'Anne-6'!G17+'Anne-8'!H17</f>
        <v>2320283</v>
      </c>
      <c r="I16" s="58">
        <f>'Anne-6'!S17+'Anne-7'!I17+'Anne-8'!I17</f>
        <v>606341</v>
      </c>
      <c r="J16" s="58">
        <f>'Anne-6'!I17+'Anne-8'!M17</f>
        <v>610925</v>
      </c>
      <c r="K16" s="58">
        <f>'Anne-7'!J17+'Anne-8'!J17</f>
        <v>0</v>
      </c>
      <c r="L16" s="58">
        <f>'Anne-6'!N17</f>
        <v>208269</v>
      </c>
      <c r="M16" s="58">
        <f>'Anne-6'!K17</f>
        <v>1808200</v>
      </c>
      <c r="N16" s="217">
        <f>'Anne-6'!X17</f>
        <v>0</v>
      </c>
      <c r="O16" s="58"/>
      <c r="P16" s="58">
        <f>'Anne-7'!L17+'Anne-8'!L17</f>
        <v>21</v>
      </c>
      <c r="Q16" s="58">
        <f>'Anne-4'!O16</f>
        <v>312</v>
      </c>
      <c r="R16" s="58">
        <f>'Anne-6'!W17</f>
        <v>0</v>
      </c>
      <c r="S16" s="58">
        <f t="shared" si="6"/>
        <v>5554351</v>
      </c>
      <c r="T16" s="58">
        <f t="shared" si="7"/>
        <v>6914757</v>
      </c>
      <c r="U16" s="151">
        <f t="shared" si="0"/>
        <v>34.33087394938519</v>
      </c>
      <c r="V16" s="151">
        <f t="shared" si="1"/>
        <v>1.7778939329615586</v>
      </c>
      <c r="W16" s="151">
        <f t="shared" si="2"/>
        <v>10.50924878802382</v>
      </c>
      <c r="X16" s="151">
        <f>G16/(AA16*1000)*100</f>
        <v>10.50924878802382</v>
      </c>
      <c r="Y16" s="151">
        <f t="shared" si="8"/>
        <v>53.417069332044434</v>
      </c>
      <c r="Z16" s="152">
        <f>G16/T16*100</f>
        <v>19.673952389071662</v>
      </c>
      <c r="AA16" s="58">
        <f>AB16</f>
        <v>12944.845320916733</v>
      </c>
      <c r="AB16" s="58">
        <f t="shared" si="3"/>
        <v>12944.845320916733</v>
      </c>
      <c r="AC16" s="58">
        <f>'Anne-4'!Z16</f>
        <v>3472.064246769187</v>
      </c>
      <c r="AD16" s="58">
        <f>'Anne-4'!AA16</f>
        <v>9472.781074147546</v>
      </c>
      <c r="AE16" s="58">
        <v>2505308.7795849093</v>
      </c>
      <c r="AF16" s="58">
        <v>7564608.153037823</v>
      </c>
      <c r="AG16" s="58">
        <f t="shared" si="4"/>
        <v>10069916.932622733</v>
      </c>
    </row>
    <row r="17" spans="1:33" ht="14.25">
      <c r="A17" s="5">
        <v>10</v>
      </c>
      <c r="B17" s="6" t="s">
        <v>30</v>
      </c>
      <c r="C17" s="60">
        <f>'Anne-8'!R18+'Anne-7'!Q18+'Anne-7'!T18+'Anne-6'!AC18</f>
        <v>1308690</v>
      </c>
      <c r="D17" s="60">
        <f>'Anne-8'!S18+'Anne-7'!R18+'Anne-7'!U18+'Anne-6'!AD18</f>
        <v>548253</v>
      </c>
      <c r="E17" s="58">
        <f t="shared" si="5"/>
        <v>1856943</v>
      </c>
      <c r="F17" s="58"/>
      <c r="G17" s="379" t="s">
        <v>196</v>
      </c>
      <c r="H17" s="379" t="s">
        <v>196</v>
      </c>
      <c r="I17" s="379" t="s">
        <v>196</v>
      </c>
      <c r="J17" s="379" t="s">
        <v>196</v>
      </c>
      <c r="K17" s="379" t="s">
        <v>196</v>
      </c>
      <c r="L17" s="379" t="s">
        <v>196</v>
      </c>
      <c r="M17" s="379" t="s">
        <v>196</v>
      </c>
      <c r="N17" s="379" t="s">
        <v>196</v>
      </c>
      <c r="O17" s="379" t="s">
        <v>196</v>
      </c>
      <c r="P17" s="379" t="s">
        <v>196</v>
      </c>
      <c r="Q17" s="379" t="s">
        <v>196</v>
      </c>
      <c r="R17" s="379" t="s">
        <v>196</v>
      </c>
      <c r="S17" s="379" t="s">
        <v>196</v>
      </c>
      <c r="T17" s="379" t="s">
        <v>196</v>
      </c>
      <c r="U17" s="151">
        <f t="shared" si="0"/>
        <v>16.561294134812833</v>
      </c>
      <c r="V17" s="151">
        <f t="shared" si="1"/>
        <v>2.1065376828867945</v>
      </c>
      <c r="W17" s="151">
        <f t="shared" si="2"/>
        <v>5.4731290908881265</v>
      </c>
      <c r="X17" s="151"/>
      <c r="Y17" s="151"/>
      <c r="Z17" s="152"/>
      <c r="AA17" s="58"/>
      <c r="AB17" s="58">
        <f t="shared" si="3"/>
        <v>33928.361073951455</v>
      </c>
      <c r="AC17" s="58">
        <f>'Anne-4'!Z17</f>
        <v>7902.099856128122</v>
      </c>
      <c r="AD17" s="58">
        <f>'Anne-4'!AA17</f>
        <v>26026.261217823336</v>
      </c>
      <c r="AE17" s="58">
        <v>5986696.638801611</v>
      </c>
      <c r="AF17" s="58">
        <v>20922730.927083485</v>
      </c>
      <c r="AG17" s="58">
        <f t="shared" si="4"/>
        <v>26909427.565885097</v>
      </c>
    </row>
    <row r="18" spans="1:33" ht="14.25">
      <c r="A18" s="5">
        <v>11</v>
      </c>
      <c r="B18" s="6" t="s">
        <v>31</v>
      </c>
      <c r="C18" s="60">
        <f>'Anne-8'!R19+'Anne-7'!Q19+'Anne-7'!T19+'Anne-6'!AC19</f>
        <v>6775358</v>
      </c>
      <c r="D18" s="60">
        <f>'Anne-8'!S19+'Anne-7'!R19+'Anne-7'!U19+'Anne-6'!AD19</f>
        <v>1946441</v>
      </c>
      <c r="E18" s="58">
        <f t="shared" si="5"/>
        <v>8721799</v>
      </c>
      <c r="F18" s="58"/>
      <c r="G18" s="58">
        <f>E18</f>
        <v>8721799</v>
      </c>
      <c r="H18" s="58">
        <f>'Anne-6'!G19+'Anne-8'!H19</f>
        <v>16497290</v>
      </c>
      <c r="I18" s="58">
        <f>'Anne-6'!S19+'Anne-7'!I19+'Anne-8'!I19</f>
        <v>6535691</v>
      </c>
      <c r="J18" s="58">
        <f>'Anne-6'!I19+'Anne-8'!M19</f>
        <v>6581891</v>
      </c>
      <c r="K18" s="58">
        <f>'Anne-7'!J19+'Anne-8'!J19</f>
        <v>6160005</v>
      </c>
      <c r="L18" s="58">
        <f>'Anne-6'!N19</f>
        <v>6070121</v>
      </c>
      <c r="M18" s="58">
        <f>'Anne-6'!K19</f>
        <v>1563895</v>
      </c>
      <c r="N18" s="217">
        <f>'Anne-6'!X19</f>
        <v>0</v>
      </c>
      <c r="O18" s="58"/>
      <c r="P18" s="58">
        <f>'Anne-7'!L19+'Anne-8'!L19</f>
        <v>2137127</v>
      </c>
      <c r="Q18" s="58">
        <f>'Anne-4'!O18</f>
        <v>686045</v>
      </c>
      <c r="R18" s="58">
        <f>'Anne-6'!W19</f>
        <v>0</v>
      </c>
      <c r="S18" s="58">
        <f t="shared" si="6"/>
        <v>46232065</v>
      </c>
      <c r="T18" s="58">
        <f t="shared" si="7"/>
        <v>54953864</v>
      </c>
      <c r="U18" s="151">
        <f t="shared" si="0"/>
        <v>29.284498642102225</v>
      </c>
      <c r="V18" s="151">
        <f t="shared" si="1"/>
        <v>4.981343457926881</v>
      </c>
      <c r="W18" s="151">
        <f t="shared" si="2"/>
        <v>14.019717096996981</v>
      </c>
      <c r="X18" s="151">
        <f>G18/(AA18*1000)*100</f>
        <v>14.019717096996981</v>
      </c>
      <c r="Y18" s="151">
        <f t="shared" si="8"/>
        <v>88.33471473796254</v>
      </c>
      <c r="Z18" s="152">
        <f>G18/T18*100</f>
        <v>15.871129644314003</v>
      </c>
      <c r="AA18" s="58">
        <f>AB18</f>
        <v>62210.948620840616</v>
      </c>
      <c r="AB18" s="58">
        <f t="shared" si="3"/>
        <v>62210.948620840616</v>
      </c>
      <c r="AC18" s="58">
        <f>'Anne-4'!Z18</f>
        <v>23136.329164464816</v>
      </c>
      <c r="AD18" s="58">
        <f>'Anne-4'!AA18</f>
        <v>39074.6194563758</v>
      </c>
      <c r="AE18" s="58">
        <v>17919858.030487653</v>
      </c>
      <c r="AF18" s="58">
        <v>34814100.213051744</v>
      </c>
      <c r="AG18" s="58">
        <f t="shared" si="4"/>
        <v>52733958.24353939</v>
      </c>
    </row>
    <row r="19" spans="1:33" ht="14.25">
      <c r="A19" s="5">
        <v>12</v>
      </c>
      <c r="B19" s="6" t="s">
        <v>32</v>
      </c>
      <c r="C19" s="60">
        <f>'Anne-8'!R20+'Anne-7'!Q20+'Anne-7'!T20+'Anne-6'!AC20</f>
        <v>5341075</v>
      </c>
      <c r="D19" s="60">
        <f>'Anne-8'!S20+'Anne-7'!R20+'Anne-7'!U20+'Anne-6'!AD20</f>
        <v>5288539</v>
      </c>
      <c r="E19" s="58">
        <f t="shared" si="5"/>
        <v>10629614</v>
      </c>
      <c r="F19" s="58"/>
      <c r="G19" s="58">
        <f>E19</f>
        <v>10629614</v>
      </c>
      <c r="H19" s="58">
        <f>'Anne-6'!G20+'Anne-8'!H20</f>
        <v>3520685</v>
      </c>
      <c r="I19" s="58">
        <f>'Anne-6'!S20+'Anne-7'!I20+'Anne-8'!I20</f>
        <v>2940840</v>
      </c>
      <c r="J19" s="58">
        <f>'Anne-6'!I20+'Anne-8'!M20</f>
        <v>6099518</v>
      </c>
      <c r="K19" s="58">
        <f>'Anne-7'!J20+'Anne-8'!J20</f>
        <v>1908414</v>
      </c>
      <c r="L19" s="58">
        <f>'Anne-6'!N20</f>
        <v>7869341</v>
      </c>
      <c r="M19" s="58">
        <f>'Anne-6'!K20</f>
        <v>354883</v>
      </c>
      <c r="N19" s="217">
        <f>'Anne-6'!X20</f>
        <v>0</v>
      </c>
      <c r="O19" s="58"/>
      <c r="P19" s="58">
        <f>'Anne-7'!L20+'Anne-8'!L20</f>
        <v>501620</v>
      </c>
      <c r="Q19" s="58">
        <f>'Anne-4'!O19</f>
        <v>263745</v>
      </c>
      <c r="R19" s="58">
        <f>'Anne-6'!W20</f>
        <v>0</v>
      </c>
      <c r="S19" s="58">
        <f t="shared" si="6"/>
        <v>23459046</v>
      </c>
      <c r="T19" s="58">
        <f t="shared" si="7"/>
        <v>34088660</v>
      </c>
      <c r="U19" s="151">
        <f t="shared" si="0"/>
        <v>62.54696429004542</v>
      </c>
      <c r="V19" s="151">
        <f t="shared" si="1"/>
        <v>21.256313676259868</v>
      </c>
      <c r="W19" s="151">
        <f t="shared" si="2"/>
        <v>31.806951644521536</v>
      </c>
      <c r="X19" s="151">
        <f>G19/(AA19*1000)*100</f>
        <v>31.806951644521536</v>
      </c>
      <c r="Y19" s="151">
        <f t="shared" si="8"/>
        <v>102.00336157517438</v>
      </c>
      <c r="Z19" s="152">
        <f>G19/T19*100</f>
        <v>31.182258264185215</v>
      </c>
      <c r="AA19" s="58">
        <f>AB19</f>
        <v>33419.15351963902</v>
      </c>
      <c r="AB19" s="58">
        <f t="shared" si="3"/>
        <v>33419.15351963902</v>
      </c>
      <c r="AC19" s="58">
        <f>'Anne-4'!Z19</f>
        <v>8539.303322911312</v>
      </c>
      <c r="AD19" s="58">
        <f>'Anne-4'!AA19</f>
        <v>24879.850196727708</v>
      </c>
      <c r="AE19" s="58">
        <v>8294083.17746361</v>
      </c>
      <c r="AF19" s="58">
        <v>23605130.641880594</v>
      </c>
      <c r="AG19" s="58">
        <f t="shared" si="4"/>
        <v>31899213.819344204</v>
      </c>
    </row>
    <row r="20" spans="1:33" ht="14.25">
      <c r="A20" s="5">
        <v>13</v>
      </c>
      <c r="B20" s="6" t="s">
        <v>33</v>
      </c>
      <c r="C20" s="60">
        <f>'Anne-8'!R21+'Anne-7'!Q21+'Anne-7'!T21+'Anne-6'!AC21</f>
        <v>2778338</v>
      </c>
      <c r="D20" s="60">
        <f>'Anne-8'!S21+'Anne-7'!R21+'Anne-7'!U21+'Anne-6'!AD21</f>
        <v>1374168</v>
      </c>
      <c r="E20" s="58">
        <f t="shared" si="5"/>
        <v>4152506</v>
      </c>
      <c r="F20" s="58"/>
      <c r="G20" s="58">
        <f>E20+E12</f>
        <v>5975911</v>
      </c>
      <c r="H20" s="58">
        <f>'Anne-6'!G21+'Anne-8'!H21</f>
        <v>10038678</v>
      </c>
      <c r="I20" s="58">
        <f>'Anne-6'!S21+'Anne-7'!I21+'Anne-8'!I21</f>
        <v>11613523</v>
      </c>
      <c r="J20" s="58">
        <f>'Anne-6'!I21+'Anne-8'!M21</f>
        <v>3966951</v>
      </c>
      <c r="K20" s="58">
        <f>'Anne-7'!J21+'Anne-8'!J21</f>
        <v>3912375</v>
      </c>
      <c r="L20" s="58">
        <f>'Anne-6'!N21</f>
        <v>14991810</v>
      </c>
      <c r="M20" s="58">
        <f>'Anne-6'!K21</f>
        <v>653287</v>
      </c>
      <c r="N20" s="217">
        <f>'Anne-6'!X21</f>
        <v>0</v>
      </c>
      <c r="O20" s="58"/>
      <c r="P20" s="58">
        <f>'Anne-7'!L21+'Anne-8'!L21</f>
        <v>3153</v>
      </c>
      <c r="Q20" s="58">
        <f>'Anne-4'!O20</f>
        <v>1255</v>
      </c>
      <c r="R20" s="58">
        <f>'Anne-6'!W21</f>
        <v>806625</v>
      </c>
      <c r="S20" s="58">
        <f t="shared" si="6"/>
        <v>45987657</v>
      </c>
      <c r="T20" s="58">
        <f t="shared" si="7"/>
        <v>51963568</v>
      </c>
      <c r="U20" s="151">
        <f t="shared" si="0"/>
        <v>13.47936425520277</v>
      </c>
      <c r="V20" s="151">
        <f t="shared" si="1"/>
        <v>2.551896638333974</v>
      </c>
      <c r="W20" s="151">
        <f t="shared" si="2"/>
        <v>5.576777078648931</v>
      </c>
      <c r="X20" s="151">
        <f>G20/(AA20*1000)*100</f>
        <v>5.930996218360988</v>
      </c>
      <c r="Y20" s="151">
        <f t="shared" si="8"/>
        <v>51.57301126147027</v>
      </c>
      <c r="Z20" s="152">
        <f>G20/T20*100</f>
        <v>11.500193751129638</v>
      </c>
      <c r="AA20" s="58">
        <f>AB20+AB12</f>
        <v>100757.28899472175</v>
      </c>
      <c r="AB20" s="58">
        <f t="shared" si="3"/>
        <v>74460.67758200612</v>
      </c>
      <c r="AC20" s="58">
        <f>'Anne-4'!Z20</f>
        <v>20611.788118476106</v>
      </c>
      <c r="AD20" s="58">
        <f>'Anne-4'!AA20</f>
        <v>53848.88946353002</v>
      </c>
      <c r="AE20" s="58">
        <v>16102589.934285555</v>
      </c>
      <c r="AF20" s="58">
        <v>44282527.572407804</v>
      </c>
      <c r="AG20" s="58">
        <f t="shared" si="4"/>
        <v>60385117.50669336</v>
      </c>
    </row>
    <row r="21" spans="1:33" ht="14.25">
      <c r="A21" s="5">
        <v>14</v>
      </c>
      <c r="B21" s="6" t="s">
        <v>34</v>
      </c>
      <c r="C21" s="60">
        <f>'Anne-8'!R22+'Anne-7'!Q22+'Anne-7'!T22+'Anne-6'!AC22</f>
        <v>5727699</v>
      </c>
      <c r="D21" s="60">
        <f>'Anne-8'!S22+'Anne-7'!R22+'Anne-7'!U22+'Anne-6'!AD22</f>
        <v>3107255</v>
      </c>
      <c r="E21" s="58">
        <f>C21+D21</f>
        <v>8834954</v>
      </c>
      <c r="F21" s="58"/>
      <c r="G21" s="58">
        <f>E21</f>
        <v>8834954</v>
      </c>
      <c r="H21" s="58">
        <f>'Anne-6'!G22+'Anne-8'!H22</f>
        <v>10000442</v>
      </c>
      <c r="I21" s="58">
        <f>'Anne-6'!S22+'Anne-7'!I22+'Anne-8'!I22</f>
        <v>7833339</v>
      </c>
      <c r="J21" s="58">
        <f>'Anne-6'!I22+'Anne-8'!M22</f>
        <v>13076871</v>
      </c>
      <c r="K21" s="58">
        <f>'Anne-7'!J22+'Anne-8'!J22</f>
        <v>6586455</v>
      </c>
      <c r="L21" s="58">
        <f>'Anne-6'!N22</f>
        <v>15840410</v>
      </c>
      <c r="M21" s="58">
        <f>'Anne-6'!K22</f>
        <v>1134782</v>
      </c>
      <c r="N21" s="217">
        <f>'Anne-6'!X22</f>
        <v>0</v>
      </c>
      <c r="O21" s="58"/>
      <c r="P21" s="58">
        <f>'Anne-7'!L22+'Anne-8'!L22</f>
        <v>651414</v>
      </c>
      <c r="Q21" s="58">
        <f>'Anne-4'!O21</f>
        <v>5502934</v>
      </c>
      <c r="R21" s="58">
        <f>'Anne-6'!W22</f>
        <v>0</v>
      </c>
      <c r="S21" s="58">
        <f t="shared" si="6"/>
        <v>60626647</v>
      </c>
      <c r="T21" s="58">
        <f t="shared" si="7"/>
        <v>69461601</v>
      </c>
      <c r="U21" s="151">
        <f t="shared" si="0"/>
        <v>18.112426703130485</v>
      </c>
      <c r="V21" s="151">
        <f t="shared" si="1"/>
        <v>5.16672597599141</v>
      </c>
      <c r="W21" s="151">
        <f t="shared" si="2"/>
        <v>9.628038252221797</v>
      </c>
      <c r="X21" s="151">
        <f>G21/(AA21*1000)*100</f>
        <v>9.628038252221797</v>
      </c>
      <c r="Y21" s="151">
        <f t="shared" si="8"/>
        <v>75.6969364513463</v>
      </c>
      <c r="Z21" s="152">
        <f>G21/T21*100</f>
        <v>12.719191427793323</v>
      </c>
      <c r="AA21" s="58">
        <f>AB21</f>
        <v>91762.76380041611</v>
      </c>
      <c r="AB21" s="58">
        <f t="shared" si="3"/>
        <v>91762.76380041611</v>
      </c>
      <c r="AC21" s="58">
        <f>'Anne-4'!Z21</f>
        <v>31623.03480300652</v>
      </c>
      <c r="AD21" s="58">
        <f>'Anne-4'!AA21</f>
        <v>60139.7289974096</v>
      </c>
      <c r="AE21" s="58">
        <v>25058603.980361335</v>
      </c>
      <c r="AF21" s="58">
        <v>56407642.20004471</v>
      </c>
      <c r="AG21" s="58">
        <f t="shared" si="4"/>
        <v>81466246.18040603</v>
      </c>
    </row>
    <row r="22" spans="1:33" ht="14.25">
      <c r="A22" s="5">
        <v>15</v>
      </c>
      <c r="B22" s="6" t="s">
        <v>35</v>
      </c>
      <c r="C22" s="60">
        <f>'Anne-8'!R23+'Anne-7'!Q23+'Anne-7'!T23+'Anne-6'!AC23</f>
        <v>700767</v>
      </c>
      <c r="D22" s="60">
        <f>'Anne-8'!S23+'Anne-7'!R23+'Anne-7'!U23+'Anne-6'!AD23</f>
        <v>355707</v>
      </c>
      <c r="E22" s="58">
        <f t="shared" si="5"/>
        <v>1056474</v>
      </c>
      <c r="F22" s="58"/>
      <c r="G22" s="58">
        <f>E22+E23</f>
        <v>1950439</v>
      </c>
      <c r="H22" s="58">
        <f>'Anne-6'!G23+'Anne-8'!H23</f>
        <v>2610008</v>
      </c>
      <c r="I22" s="58">
        <f>'Anne-6'!S23+'Anne-7'!I23+'Anne-8'!I23</f>
        <v>836595</v>
      </c>
      <c r="J22" s="58">
        <f>'Anne-6'!I23+'Anne-8'!M23</f>
        <v>939346</v>
      </c>
      <c r="K22" s="58">
        <f>'Anne-7'!J23+'Anne-8'!J23</f>
        <v>0</v>
      </c>
      <c r="L22" s="58">
        <f>'Anne-6'!N23</f>
        <v>267417</v>
      </c>
      <c r="M22" s="58">
        <f>'Anne-6'!K23</f>
        <v>2338464</v>
      </c>
      <c r="N22" s="217">
        <f>'Anne-6'!X23</f>
        <v>0</v>
      </c>
      <c r="O22" s="58"/>
      <c r="P22" s="58">
        <f>'Anne-7'!L23+'Anne-8'!L23</f>
        <v>151</v>
      </c>
      <c r="Q22" s="58">
        <f>'Anne-4'!O22</f>
        <v>90</v>
      </c>
      <c r="R22" s="58">
        <f>'Anne-6'!W23</f>
        <v>0</v>
      </c>
      <c r="S22" s="58">
        <f t="shared" si="6"/>
        <v>6992071</v>
      </c>
      <c r="T22" s="58">
        <f t="shared" si="7"/>
        <v>8942510</v>
      </c>
      <c r="U22" s="151">
        <f t="shared" si="0"/>
        <v>36.32564033768292</v>
      </c>
      <c r="V22" s="151">
        <f t="shared" si="1"/>
        <v>5.925306849733665</v>
      </c>
      <c r="W22" s="151">
        <f t="shared" si="2"/>
        <v>13.318620932357423</v>
      </c>
      <c r="X22" s="151">
        <f>G22/(AA22*1000)*100</f>
        <v>13.824971314403284</v>
      </c>
      <c r="Y22" s="151">
        <f t="shared" si="8"/>
        <v>63.38570149015915</v>
      </c>
      <c r="Z22" s="152">
        <f>G22/T22*100</f>
        <v>21.810867418655388</v>
      </c>
      <c r="AA22" s="58">
        <f>AB22+AB23</f>
        <v>14108.087139160803</v>
      </c>
      <c r="AB22" s="58">
        <f t="shared" si="3"/>
        <v>7932.307746917774</v>
      </c>
      <c r="AC22" s="58">
        <f>'Anne-4'!Z22</f>
        <v>1929.1249747717438</v>
      </c>
      <c r="AD22" s="58">
        <f>'Anne-4'!AA22</f>
        <v>6003.18277214603</v>
      </c>
      <c r="AE22" s="58">
        <v>1436746.244734193</v>
      </c>
      <c r="AF22" s="58">
        <v>4951548.718636215</v>
      </c>
      <c r="AG22" s="58">
        <f t="shared" si="4"/>
        <v>6388294.963370408</v>
      </c>
    </row>
    <row r="23" spans="1:33" ht="14.25">
      <c r="A23" s="5">
        <v>16</v>
      </c>
      <c r="B23" s="6" t="s">
        <v>36</v>
      </c>
      <c r="C23" s="60">
        <f>'Anne-8'!R24+'Anne-7'!Q24+'Anne-7'!T24+'Anne-6'!AC24</f>
        <v>535769</v>
      </c>
      <c r="D23" s="60">
        <f>'Anne-8'!S24+'Anne-7'!R24+'Anne-7'!U24+'Anne-6'!AD24</f>
        <v>358196</v>
      </c>
      <c r="E23" s="58">
        <f t="shared" si="5"/>
        <v>893965</v>
      </c>
      <c r="F23" s="58"/>
      <c r="G23" s="379" t="s">
        <v>196</v>
      </c>
      <c r="H23" s="379" t="s">
        <v>196</v>
      </c>
      <c r="I23" s="379" t="s">
        <v>196</v>
      </c>
      <c r="J23" s="379" t="s">
        <v>196</v>
      </c>
      <c r="K23" s="379" t="s">
        <v>196</v>
      </c>
      <c r="L23" s="379" t="s">
        <v>196</v>
      </c>
      <c r="M23" s="379" t="s">
        <v>196</v>
      </c>
      <c r="N23" s="379" t="s">
        <v>196</v>
      </c>
      <c r="O23" s="379" t="s">
        <v>196</v>
      </c>
      <c r="P23" s="379" t="s">
        <v>196</v>
      </c>
      <c r="Q23" s="379" t="s">
        <v>196</v>
      </c>
      <c r="R23" s="379" t="s">
        <v>196</v>
      </c>
      <c r="S23" s="379" t="s">
        <v>196</v>
      </c>
      <c r="T23" s="379" t="s">
        <v>196</v>
      </c>
      <c r="U23" s="151">
        <f t="shared" si="0"/>
        <v>36.48920790669881</v>
      </c>
      <c r="V23" s="151">
        <f t="shared" si="1"/>
        <v>7.609073663795485</v>
      </c>
      <c r="W23" s="151">
        <f t="shared" si="2"/>
        <v>14.475338952729558</v>
      </c>
      <c r="X23" s="151"/>
      <c r="Y23" s="151"/>
      <c r="Z23" s="152"/>
      <c r="AA23" s="58"/>
      <c r="AB23" s="58">
        <f t="shared" si="3"/>
        <v>6175.779392243029</v>
      </c>
      <c r="AC23" s="58">
        <f>'Anne-4'!Z23</f>
        <v>1468.294410144326</v>
      </c>
      <c r="AD23" s="58">
        <f>'Anne-4'!AA23</f>
        <v>4707.484982098703</v>
      </c>
      <c r="AE23" s="58">
        <v>1145918.7558733525</v>
      </c>
      <c r="AF23" s="58">
        <v>4322467.895077089</v>
      </c>
      <c r="AG23" s="58">
        <f t="shared" si="4"/>
        <v>5468386.650950441</v>
      </c>
    </row>
    <row r="24" spans="1:33" ht="14.25">
      <c r="A24" s="5">
        <v>17</v>
      </c>
      <c r="B24" s="6" t="s">
        <v>37</v>
      </c>
      <c r="C24" s="60">
        <f>'Anne-8'!R25+'Anne-7'!Q25+'Anne-7'!T25+'Anne-6'!AC25</f>
        <v>2891931</v>
      </c>
      <c r="D24" s="60">
        <f>'Anne-8'!S25+'Anne-7'!R25+'Anne-7'!U25+'Anne-6'!AD25</f>
        <v>1964231</v>
      </c>
      <c r="E24" s="58">
        <f t="shared" si="5"/>
        <v>4856162</v>
      </c>
      <c r="F24" s="58"/>
      <c r="G24" s="58">
        <f>E24</f>
        <v>4856162</v>
      </c>
      <c r="H24" s="58">
        <f>'Anne-6'!G25+'Anne-8'!H25</f>
        <v>6756065</v>
      </c>
      <c r="I24" s="58">
        <f>'Anne-6'!S25+'Anne-7'!I25+'Anne-8'!I25</f>
        <v>3667710</v>
      </c>
      <c r="J24" s="58">
        <f>'Anne-6'!I25+'Anne-8'!M25</f>
        <v>2875562</v>
      </c>
      <c r="K24" s="58">
        <f>'Anne-7'!J25+'Anne-8'!J25</f>
        <v>2149566</v>
      </c>
      <c r="L24" s="58">
        <f>'Anne-6'!N25</f>
        <v>963793</v>
      </c>
      <c r="M24" s="58">
        <f>'Anne-6'!K25</f>
        <v>2893967</v>
      </c>
      <c r="N24" s="217">
        <f>'Anne-6'!X25</f>
        <v>0</v>
      </c>
      <c r="O24" s="58"/>
      <c r="P24" s="58">
        <f>'Anne-7'!L25+'Anne-8'!L25</f>
        <v>787</v>
      </c>
      <c r="Q24" s="58">
        <f>'Anne-4'!O24</f>
        <v>701887</v>
      </c>
      <c r="R24" s="58">
        <f>'Anne-6'!W25</f>
        <v>0</v>
      </c>
      <c r="S24" s="58">
        <f t="shared" si="6"/>
        <v>20009337</v>
      </c>
      <c r="T24" s="58">
        <f t="shared" si="7"/>
        <v>24865499</v>
      </c>
      <c r="U24" s="151">
        <f t="shared" si="0"/>
        <v>40.523766839729944</v>
      </c>
      <c r="V24" s="151">
        <f t="shared" si="1"/>
        <v>5.544112878382487</v>
      </c>
      <c r="W24" s="151">
        <f t="shared" si="2"/>
        <v>11.408677194061639</v>
      </c>
      <c r="X24" s="151">
        <f>G24/(AA24*1000)*100</f>
        <v>11.408677194061639</v>
      </c>
      <c r="Y24" s="151">
        <f t="shared" si="8"/>
        <v>58.41700737336656</v>
      </c>
      <c r="Z24" s="152">
        <f>G24/T24*100</f>
        <v>19.529718667620546</v>
      </c>
      <c r="AA24" s="58">
        <f>AB24</f>
        <v>42565.51322643868</v>
      </c>
      <c r="AB24" s="58">
        <f t="shared" si="3"/>
        <v>42565.51322643868</v>
      </c>
      <c r="AC24" s="58">
        <f>'Anne-4'!Z24</f>
        <v>7136.3824874362845</v>
      </c>
      <c r="AD24" s="58">
        <f>'Anne-4'!AA24</f>
        <v>35429.130739002394</v>
      </c>
      <c r="AE24" s="58">
        <v>5496317.981234442</v>
      </c>
      <c r="AF24" s="58">
        <v>31210601.960714735</v>
      </c>
      <c r="AG24" s="58">
        <f t="shared" si="4"/>
        <v>36706919.941949174</v>
      </c>
    </row>
    <row r="25" spans="1:33" ht="14.25">
      <c r="A25" s="5">
        <v>18</v>
      </c>
      <c r="B25" s="6" t="s">
        <v>38</v>
      </c>
      <c r="C25" s="60">
        <f>'Anne-8'!R26+'Anne-7'!Q26+'Anne-7'!T26+'Anne-6'!AC26</f>
        <v>3276236</v>
      </c>
      <c r="D25" s="60">
        <f>'Anne-8'!S26+'Anne-7'!R26+'Anne-7'!U26+'Anne-6'!AD26</f>
        <v>2140451</v>
      </c>
      <c r="E25" s="58">
        <f t="shared" si="5"/>
        <v>5416687</v>
      </c>
      <c r="F25" s="58"/>
      <c r="G25" s="58">
        <f>E25</f>
        <v>5416687</v>
      </c>
      <c r="H25" s="58">
        <f>'Anne-6'!G26+'Anne-8'!H26</f>
        <v>6963477</v>
      </c>
      <c r="I25" s="58">
        <f>'Anne-6'!S26+'Anne-7'!I26+'Anne-8'!I26</f>
        <v>2874255</v>
      </c>
      <c r="J25" s="58">
        <f>'Anne-6'!I26+'Anne-8'!M26</f>
        <v>4329821</v>
      </c>
      <c r="K25" s="58">
        <f>'Anne-7'!J26+'Anne-8'!J26</f>
        <v>2471755</v>
      </c>
      <c r="L25" s="58">
        <f>'Anne-6'!N26</f>
        <v>5565174</v>
      </c>
      <c r="M25" s="58">
        <f>'Anne-6'!K26</f>
        <v>972375</v>
      </c>
      <c r="N25" s="217">
        <f>'Anne-6'!X26</f>
        <v>0</v>
      </c>
      <c r="O25" s="58">
        <f>'Anne-7'!K26+'Anne-8'!K26</f>
        <v>1774528</v>
      </c>
      <c r="P25" s="58">
        <f>'Anne-7'!L26+'Anne-8'!L26</f>
        <v>1146</v>
      </c>
      <c r="Q25" s="58">
        <f>'Anne-4'!O25</f>
        <v>411</v>
      </c>
      <c r="R25" s="58">
        <f>'Anne-6'!W26</f>
        <v>0</v>
      </c>
      <c r="S25" s="58">
        <f t="shared" si="6"/>
        <v>24952942</v>
      </c>
      <c r="T25" s="58">
        <f t="shared" si="7"/>
        <v>30369629</v>
      </c>
      <c r="U25" s="151">
        <f t="shared" si="0"/>
        <v>27.306542119304755</v>
      </c>
      <c r="V25" s="151">
        <f t="shared" si="1"/>
        <v>12.459854691418885</v>
      </c>
      <c r="W25" s="151">
        <f t="shared" si="2"/>
        <v>18.565067927236907</v>
      </c>
      <c r="X25" s="151">
        <f>G25/(AA25*1000)*100</f>
        <v>18.565067927236907</v>
      </c>
      <c r="Y25" s="151">
        <f t="shared" si="8"/>
        <v>104.08838932542785</v>
      </c>
      <c r="Z25" s="152">
        <f>G25/T25*100</f>
        <v>17.835868195821554</v>
      </c>
      <c r="AA25" s="58">
        <f>AB25</f>
        <v>29176.769087136767</v>
      </c>
      <c r="AB25" s="58">
        <f t="shared" si="3"/>
        <v>29176.769087136767</v>
      </c>
      <c r="AC25" s="58">
        <f>'Anne-4'!Z25</f>
        <v>11997.98929386895</v>
      </c>
      <c r="AD25" s="58">
        <f>'Anne-4'!AA25</f>
        <v>17178.77979326782</v>
      </c>
      <c r="AE25" s="60">
        <v>9054362.204957837</v>
      </c>
      <c r="AF25" s="60">
        <v>16135847.643122543</v>
      </c>
      <c r="AG25" s="60">
        <f t="shared" si="4"/>
        <v>25190209.84808038</v>
      </c>
    </row>
    <row r="26" spans="1:33" ht="14.25">
      <c r="A26" s="5">
        <v>19</v>
      </c>
      <c r="B26" s="6" t="s">
        <v>39</v>
      </c>
      <c r="C26" s="60">
        <f>'Anne-8'!R27+'Anne-7'!Q27+'Anne-7'!T27+'Anne-6'!AC27</f>
        <v>4625608</v>
      </c>
      <c r="D26" s="60">
        <f>'Anne-8'!S27+'Anne-7'!R27+'Anne-7'!U27+'Anne-6'!AD27</f>
        <v>2214994</v>
      </c>
      <c r="E26" s="58">
        <f t="shared" si="5"/>
        <v>6840602</v>
      </c>
      <c r="F26" s="58"/>
      <c r="G26" s="58">
        <f>E26</f>
        <v>6840602</v>
      </c>
      <c r="H26" s="58">
        <f>'Anne-6'!G27+'Anne-8'!H27</f>
        <v>14418888</v>
      </c>
      <c r="I26" s="58">
        <f>'Anne-6'!S27+'Anne-7'!I27+'Anne-8'!I27</f>
        <v>5410415</v>
      </c>
      <c r="J26" s="58">
        <f>'Anne-6'!I27+'Anne-8'!M27</f>
        <v>8637772</v>
      </c>
      <c r="K26" s="58">
        <f>'Anne-7'!J27+'Anne-8'!J27</f>
        <v>2992979</v>
      </c>
      <c r="L26" s="58">
        <f>'Anne-6'!N27</f>
        <v>4674801</v>
      </c>
      <c r="M26" s="58">
        <f>'Anne-6'!K27</f>
        <v>2792442</v>
      </c>
      <c r="N26" s="217">
        <f>'Anne-6'!X27</f>
        <v>0</v>
      </c>
      <c r="O26" s="58"/>
      <c r="P26" s="58">
        <f>'Anne-7'!L27+'Anne-8'!L27</f>
        <v>2239445</v>
      </c>
      <c r="Q26" s="58">
        <f>'Anne-4'!O26</f>
        <v>1032</v>
      </c>
      <c r="R26" s="58">
        <f>'Anne-6'!W27</f>
        <v>0</v>
      </c>
      <c r="S26" s="58">
        <f t="shared" si="6"/>
        <v>41167774</v>
      </c>
      <c r="T26" s="58">
        <f t="shared" si="7"/>
        <v>48008376</v>
      </c>
      <c r="U26" s="151">
        <f t="shared" si="0"/>
        <v>27.439687996794255</v>
      </c>
      <c r="V26" s="151">
        <f t="shared" si="1"/>
        <v>4.127850110840254</v>
      </c>
      <c r="W26" s="151">
        <f t="shared" si="2"/>
        <v>9.700626925240137</v>
      </c>
      <c r="X26" s="151">
        <f>G26/(AA26*1000)*100</f>
        <v>9.700626925240137</v>
      </c>
      <c r="Y26" s="151">
        <f t="shared" si="8"/>
        <v>68.08046205036521</v>
      </c>
      <c r="Z26" s="152">
        <f>G26/T26*100</f>
        <v>14.248767756693123</v>
      </c>
      <c r="AA26" s="58">
        <f>AB26</f>
        <v>70517.11247859026</v>
      </c>
      <c r="AB26" s="58">
        <f t="shared" si="3"/>
        <v>70517.11247859026</v>
      </c>
      <c r="AC26" s="58">
        <f>'Anne-4'!Z26</f>
        <v>16857.36368627954</v>
      </c>
      <c r="AD26" s="58">
        <f>'Anne-4'!AA26</f>
        <v>53659.748792310726</v>
      </c>
      <c r="AE26" s="58">
        <v>13205444.173387725</v>
      </c>
      <c r="AF26" s="58">
        <v>43267678.32289427</v>
      </c>
      <c r="AG26" s="58">
        <f t="shared" si="4"/>
        <v>56473122.496282</v>
      </c>
    </row>
    <row r="27" spans="1:35" ht="14.25">
      <c r="A27" s="5">
        <v>20</v>
      </c>
      <c r="B27" s="6" t="s">
        <v>40</v>
      </c>
      <c r="C27" s="60">
        <f>'Anne-8'!R28+'Anne-7'!Q28+'Anne-7'!T28+'Anne-6'!AC28</f>
        <v>8013301</v>
      </c>
      <c r="D27" s="60">
        <f>'Anne-8'!S28+'Anne-7'!R28+'Anne-7'!U28+'Anne-6'!AD28</f>
        <v>1483907</v>
      </c>
      <c r="E27" s="58">
        <f t="shared" si="5"/>
        <v>9497208</v>
      </c>
      <c r="F27" s="58"/>
      <c r="G27" s="58">
        <f>E27</f>
        <v>9497208</v>
      </c>
      <c r="H27" s="58">
        <f>'Anne-6'!G28+'Anne-8'!H28</f>
        <v>9852088</v>
      </c>
      <c r="I27" s="58">
        <f>'Anne-6'!S28+'Anne-7'!I28+'Anne-8'!I28</f>
        <v>5750472</v>
      </c>
      <c r="J27" s="58">
        <f>'Anne-6'!I28+'Anne-8'!M28</f>
        <v>9891464</v>
      </c>
      <c r="K27" s="58">
        <f>'Anne-7'!J28+'Anne-8'!J28</f>
        <v>4110813</v>
      </c>
      <c r="L27" s="58">
        <f>'Anne-6'!N28</f>
        <v>2228730</v>
      </c>
      <c r="M27" s="58">
        <f>'Anne-6'!K28</f>
        <v>17555412</v>
      </c>
      <c r="N27" s="217">
        <f>'Anne-6'!X28</f>
        <v>0</v>
      </c>
      <c r="O27" s="58"/>
      <c r="P27" s="58">
        <f>'Anne-7'!L28+'Anne-8'!L28</f>
        <v>1227697</v>
      </c>
      <c r="Q27" s="58">
        <f>'Anne-4'!O27</f>
        <v>505180</v>
      </c>
      <c r="R27" s="58">
        <f>'Anne-6'!W28</f>
        <v>0</v>
      </c>
      <c r="S27" s="58">
        <f t="shared" si="6"/>
        <v>51121856</v>
      </c>
      <c r="T27" s="58">
        <f t="shared" si="7"/>
        <v>60619064</v>
      </c>
      <c r="U27" s="151">
        <f t="shared" si="0"/>
        <v>27.6501376337739</v>
      </c>
      <c r="V27" s="151">
        <f t="shared" si="1"/>
        <v>4.387486348641642</v>
      </c>
      <c r="W27" s="151">
        <f t="shared" si="2"/>
        <v>15.122364691397424</v>
      </c>
      <c r="X27" s="151">
        <f>G27/(AA27*1000)*100</f>
        <v>15.122364691397424</v>
      </c>
      <c r="Y27" s="151">
        <f t="shared" si="8"/>
        <v>96.52348280243633</v>
      </c>
      <c r="Z27" s="152">
        <f>G27/T27*100</f>
        <v>15.667031744337063</v>
      </c>
      <c r="AA27" s="58">
        <f>AB27</f>
        <v>62802.4002450002</v>
      </c>
      <c r="AB27" s="58">
        <f t="shared" si="3"/>
        <v>62802.4002450002</v>
      </c>
      <c r="AC27" s="58">
        <f>'Anne-4'!Z27</f>
        <v>28981.052847317358</v>
      </c>
      <c r="AD27" s="58">
        <f>'Anne-4'!AA27</f>
        <v>33821.347397682846</v>
      </c>
      <c r="AE27" s="58">
        <v>21465162.047406718</v>
      </c>
      <c r="AF27" s="58">
        <v>31120827.47722959</v>
      </c>
      <c r="AG27" s="58">
        <f t="shared" si="4"/>
        <v>52585989.52463631</v>
      </c>
      <c r="AI27">
        <v>1133925</v>
      </c>
    </row>
    <row r="28" spans="1:34" ht="14.25">
      <c r="A28" s="5">
        <v>21</v>
      </c>
      <c r="B28" s="6" t="s">
        <v>41</v>
      </c>
      <c r="C28" s="60">
        <f>'Anne-8'!R29+'Anne-7'!Q29+'Anne-7'!T29+'Anne-6'!AC29</f>
        <v>899097</v>
      </c>
      <c r="D28" s="60">
        <f>'Anne-8'!S29+'Anne-7'!R29+'Anne-7'!U29+'Anne-6'!AD29</f>
        <v>694851</v>
      </c>
      <c r="E28" s="58">
        <f t="shared" si="5"/>
        <v>1593948</v>
      </c>
      <c r="F28" s="58"/>
      <c r="G28" s="379" t="s">
        <v>196</v>
      </c>
      <c r="H28" s="379" t="s">
        <v>196</v>
      </c>
      <c r="I28" s="379" t="s">
        <v>196</v>
      </c>
      <c r="J28" s="379" t="s">
        <v>196</v>
      </c>
      <c r="K28" s="379" t="s">
        <v>196</v>
      </c>
      <c r="L28" s="379" t="s">
        <v>196</v>
      </c>
      <c r="M28" s="379" t="s">
        <v>196</v>
      </c>
      <c r="N28" s="379" t="s">
        <v>196</v>
      </c>
      <c r="O28" s="379" t="s">
        <v>196</v>
      </c>
      <c r="P28" s="379" t="s">
        <v>196</v>
      </c>
      <c r="Q28" s="379" t="s">
        <v>196</v>
      </c>
      <c r="R28" s="379" t="s">
        <v>196</v>
      </c>
      <c r="S28" s="379" t="s">
        <v>196</v>
      </c>
      <c r="T28" s="379" t="s">
        <v>196</v>
      </c>
      <c r="U28" s="151">
        <f t="shared" si="0"/>
        <v>30.60945476722654</v>
      </c>
      <c r="V28" s="151">
        <f t="shared" si="1"/>
        <v>9.365412185092286</v>
      </c>
      <c r="W28" s="151">
        <f t="shared" si="2"/>
        <v>15.390575624860823</v>
      </c>
      <c r="X28" s="151"/>
      <c r="Y28" s="151"/>
      <c r="Z28" s="152"/>
      <c r="AA28" s="58"/>
      <c r="AB28" s="58">
        <f t="shared" si="3"/>
        <v>10356.649672188036</v>
      </c>
      <c r="AC28" s="58">
        <f>'Anne-4'!Z28</f>
        <v>2937.3179196993106</v>
      </c>
      <c r="AD28" s="58">
        <f>'Anne-4'!AA28</f>
        <v>7419.331752488725</v>
      </c>
      <c r="AE28" s="58">
        <v>2170244.7224881384</v>
      </c>
      <c r="AF28" s="58">
        <v>6309317.326735535</v>
      </c>
      <c r="AG28" s="58">
        <f t="shared" si="4"/>
        <v>8479562.049223673</v>
      </c>
      <c r="AH28">
        <v>540493</v>
      </c>
    </row>
    <row r="29" spans="1:35" ht="14.25">
      <c r="A29" s="5">
        <v>22</v>
      </c>
      <c r="B29" s="6" t="s">
        <v>42</v>
      </c>
      <c r="C29" s="60">
        <f>'Anne-8'!R30+'Anne-7'!Q30+'Anne-7'!T30+'Anne-6'!AC30</f>
        <v>7812969</v>
      </c>
      <c r="D29" s="60">
        <f>'Anne-8'!S30+'Anne-7'!R30+'Anne-7'!U30+'Anne-6'!AD30</f>
        <v>3440691</v>
      </c>
      <c r="E29" s="58">
        <f t="shared" si="5"/>
        <v>11253660</v>
      </c>
      <c r="F29" s="58"/>
      <c r="G29" s="58">
        <f>E29</f>
        <v>11253660</v>
      </c>
      <c r="H29" s="58">
        <f>'Anne-6'!G30+'Anne-8'!H30</f>
        <v>15063865</v>
      </c>
      <c r="I29" s="58">
        <f>'Anne-6'!S30+'Anne-7'!I30+'Anne-8'!I30</f>
        <v>9702154</v>
      </c>
      <c r="J29" s="58">
        <f>'Anne-6'!I30+'Anne-8'!M30</f>
        <v>14492194</v>
      </c>
      <c r="K29" s="58">
        <f>'Anne-7'!J30+'Anne-8'!J30</f>
        <v>4096606</v>
      </c>
      <c r="L29" s="58">
        <f>'Anne-6'!N30</f>
        <v>6968905</v>
      </c>
      <c r="M29" s="58">
        <f>'Anne-6'!K30</f>
        <v>3774238</v>
      </c>
      <c r="N29" s="217">
        <f>'Anne-6'!X30</f>
        <v>0</v>
      </c>
      <c r="O29" s="58"/>
      <c r="P29" s="58">
        <f>'Anne-7'!L30+'Anne-8'!L30</f>
        <v>537198</v>
      </c>
      <c r="Q29" s="58">
        <f>'Anne-4'!O29</f>
        <v>7399456</v>
      </c>
      <c r="R29" s="58">
        <f>'Anne-6'!W30</f>
        <v>14629</v>
      </c>
      <c r="S29" s="58">
        <f t="shared" si="6"/>
        <v>62049245</v>
      </c>
      <c r="T29" s="58">
        <f t="shared" si="7"/>
        <v>73302905</v>
      </c>
      <c r="U29" s="151">
        <f t="shared" si="0"/>
        <v>33.2879554778498</v>
      </c>
      <c r="V29" s="151">
        <f t="shared" si="1"/>
        <v>2.9922920096064076</v>
      </c>
      <c r="W29" s="151">
        <f t="shared" si="2"/>
        <v>8.12796883432734</v>
      </c>
      <c r="X29" s="151">
        <f aca="true" t="shared" si="9" ref="X29:X37">G29/(AA29*1000)*100</f>
        <v>8.12796883432734</v>
      </c>
      <c r="Y29" s="151">
        <f t="shared" si="8"/>
        <v>52.94310715852956</v>
      </c>
      <c r="Z29" s="152">
        <f aca="true" t="shared" si="10" ref="Z29:Z34">G29/T29*100</f>
        <v>15.352270145364635</v>
      </c>
      <c r="AA29" s="58">
        <f>AB29</f>
        <v>138455.99348845606</v>
      </c>
      <c r="AB29" s="58">
        <f t="shared" si="3"/>
        <v>138455.99348845606</v>
      </c>
      <c r="AC29" s="58">
        <f>'Anne-4'!Z29</f>
        <v>23470.858717048097</v>
      </c>
      <c r="AD29" s="58">
        <f>'Anne-4'!AA29</f>
        <v>114985.13477140797</v>
      </c>
      <c r="AE29" s="60">
        <v>18305425.424703386</v>
      </c>
      <c r="AF29" s="60">
        <v>96103124.17518596</v>
      </c>
      <c r="AG29" s="60">
        <f t="shared" si="4"/>
        <v>114408549.59988935</v>
      </c>
      <c r="AH29">
        <v>1027015247</v>
      </c>
      <c r="AI29" s="73">
        <f>AH28/AH29*AI27</f>
        <v>596.756987605852</v>
      </c>
    </row>
    <row r="30" spans="1:35" ht="14.25">
      <c r="A30" s="5">
        <v>23</v>
      </c>
      <c r="B30" s="6" t="s">
        <v>43</v>
      </c>
      <c r="C30" s="60">
        <f>'Anne-8'!R31+'Anne-7'!Q31+'Anne-7'!T31+'Anne-6'!AC31</f>
        <v>3076920</v>
      </c>
      <c r="D30" s="60">
        <f>'Anne-8'!S31+'Anne-7'!R31+'Anne-7'!U31+'Anne-6'!AD31</f>
        <v>966669</v>
      </c>
      <c r="E30" s="58">
        <f t="shared" si="5"/>
        <v>4043589</v>
      </c>
      <c r="F30" s="58"/>
      <c r="G30" s="58">
        <f>E30+E28</f>
        <v>5637537</v>
      </c>
      <c r="H30" s="58">
        <f>'Anne-6'!G31+'Anne-8'!H31</f>
        <v>6556536</v>
      </c>
      <c r="I30" s="58">
        <f>'Anne-6'!S31+'Anne-7'!I31+'Anne-8'!I31</f>
        <v>6593111</v>
      </c>
      <c r="J30" s="58">
        <f>'Anne-6'!I31+'Anne-8'!M31</f>
        <v>9031388</v>
      </c>
      <c r="K30" s="58">
        <f>'Anne-7'!J31+'Anne-8'!J31</f>
        <v>3940526</v>
      </c>
      <c r="L30" s="58">
        <f>'Anne-6'!N31</f>
        <v>10385262</v>
      </c>
      <c r="M30" s="58">
        <f>'Anne-6'!K31</f>
        <v>1409150</v>
      </c>
      <c r="N30" s="217">
        <f>'Anne-6'!X31</f>
        <v>0</v>
      </c>
      <c r="O30" s="58"/>
      <c r="P30" s="58">
        <f>'Anne-7'!L31+'Anne-8'!L31</f>
        <v>570069</v>
      </c>
      <c r="Q30" s="58">
        <f>'Anne-4'!O30</f>
        <v>5119624</v>
      </c>
      <c r="R30" s="58">
        <f>'Anne-6'!W31</f>
        <v>3622</v>
      </c>
      <c r="S30" s="58">
        <f t="shared" si="6"/>
        <v>43609288</v>
      </c>
      <c r="T30" s="58">
        <f t="shared" si="7"/>
        <v>49246825</v>
      </c>
      <c r="U30" s="151">
        <f t="shared" si="0"/>
        <v>14.13661688432611</v>
      </c>
      <c r="V30" s="151">
        <f t="shared" si="1"/>
        <v>2.1767165810007514</v>
      </c>
      <c r="W30" s="151">
        <f t="shared" si="2"/>
        <v>6.110438272044256</v>
      </c>
      <c r="X30" s="151">
        <f t="shared" si="9"/>
        <v>7.366271627786995</v>
      </c>
      <c r="Y30" s="151">
        <f t="shared" si="8"/>
        <v>64.34822330320694</v>
      </c>
      <c r="Z30" s="152">
        <f t="shared" si="10"/>
        <v>11.447513621436508</v>
      </c>
      <c r="AA30" s="58">
        <f>AB30+AB28</f>
        <v>76531.7556134385</v>
      </c>
      <c r="AB30" s="58">
        <f t="shared" si="3"/>
        <v>66175.10594125045</v>
      </c>
      <c r="AC30" s="58">
        <f>'Anne-4'!Z30</f>
        <v>21765.603646028754</v>
      </c>
      <c r="AD30" s="58">
        <f>'Anne-4'!AA30</f>
        <v>44409.502295221704</v>
      </c>
      <c r="AE30" s="60">
        <v>16207203.922645923</v>
      </c>
      <c r="AF30" s="60">
        <v>35437105.906304315</v>
      </c>
      <c r="AG30" s="60">
        <f t="shared" si="4"/>
        <v>51644309.82895024</v>
      </c>
      <c r="AI30">
        <f>30849+754+52382</f>
        <v>83985</v>
      </c>
    </row>
    <row r="31" spans="1:35" ht="14.25">
      <c r="A31" s="5">
        <v>24</v>
      </c>
      <c r="B31" s="6" t="s">
        <v>44</v>
      </c>
      <c r="C31" s="60">
        <f>'Anne-8'!R32+'Anne-7'!Q32+'Anne-7'!T32+'Anne-6'!AC32</f>
        <v>1979691</v>
      </c>
      <c r="D31" s="60">
        <f>'Anne-8'!S32+'Anne-7'!R32+'Anne-7'!U32+'Anne-6'!AD32</f>
        <v>2002772</v>
      </c>
      <c r="E31" s="58">
        <f t="shared" si="5"/>
        <v>3982463</v>
      </c>
      <c r="F31" s="58"/>
      <c r="G31" s="58">
        <f>E31+E8</f>
        <v>4208023</v>
      </c>
      <c r="H31" s="58">
        <f>'Anne-6'!G32+'Anne-8'!H32</f>
        <v>9162866</v>
      </c>
      <c r="I31" s="58">
        <f>'Anne-6'!S32+'Anne-7'!I32+'Anne-8'!I32</f>
        <v>6653091</v>
      </c>
      <c r="J31" s="58">
        <f>'Anne-6'!I32+'Anne-8'!M32</f>
        <v>11367866</v>
      </c>
      <c r="K31" s="58">
        <f>'Anne-7'!J32+'Anne-8'!J32</f>
        <v>2132004</v>
      </c>
      <c r="L31" s="58">
        <f>'Anne-6'!N32</f>
        <v>2393404</v>
      </c>
      <c r="M31" s="58">
        <f>'Anne-6'!K32</f>
        <v>3053462</v>
      </c>
      <c r="N31" s="217">
        <f>'Anne-6'!X32</f>
        <v>0</v>
      </c>
      <c r="O31" s="58"/>
      <c r="P31" s="58">
        <f>'Anne-7'!L32+'Anne-8'!L32</f>
        <v>1948996</v>
      </c>
      <c r="Q31" s="58">
        <f>'Anne-4'!O31</f>
        <v>2983788</v>
      </c>
      <c r="R31" s="58">
        <f>'Anne-6'!W32</f>
        <v>0</v>
      </c>
      <c r="S31" s="58">
        <f t="shared" si="6"/>
        <v>39695477</v>
      </c>
      <c r="T31" s="58">
        <f t="shared" si="7"/>
        <v>43903500</v>
      </c>
      <c r="U31" s="151">
        <f t="shared" si="0"/>
        <v>18.11512064494528</v>
      </c>
      <c r="V31" s="151">
        <f t="shared" si="1"/>
        <v>2.9970585547652124</v>
      </c>
      <c r="W31" s="151">
        <f t="shared" si="2"/>
        <v>5.121942805721874</v>
      </c>
      <c r="X31" s="151">
        <f t="shared" si="9"/>
        <v>5.3856670404440266</v>
      </c>
      <c r="Y31" s="151">
        <f t="shared" si="8"/>
        <v>56.19019499421327</v>
      </c>
      <c r="Z31" s="152">
        <f t="shared" si="10"/>
        <v>9.584709647294634</v>
      </c>
      <c r="AA31" s="58">
        <f>AB31+AB8</f>
        <v>78133.73846544116</v>
      </c>
      <c r="AB31" s="58">
        <f t="shared" si="3"/>
        <v>77752.97677184276</v>
      </c>
      <c r="AC31" s="58">
        <f>'Anne-4'!Z31</f>
        <v>10928.38981755498</v>
      </c>
      <c r="AD31" s="58">
        <f>'Anne-4'!AA31</f>
        <v>66824.58695428778</v>
      </c>
      <c r="AE31" s="58">
        <v>9329940.33700887</v>
      </c>
      <c r="AF31" s="58">
        <v>58215178.05927157</v>
      </c>
      <c r="AG31" s="58">
        <f t="shared" si="4"/>
        <v>67545118.39628044</v>
      </c>
      <c r="AI31" s="72">
        <f>AI30/(AI29*1000)</f>
        <v>0.14073567925353003</v>
      </c>
    </row>
    <row r="32" spans="1:33" ht="14.25">
      <c r="A32" s="5">
        <v>25</v>
      </c>
      <c r="B32" s="6" t="s">
        <v>45</v>
      </c>
      <c r="C32" s="60">
        <f>'Anne-8'!R33+'Anne-7'!Q33+'Anne-7'!T33+'Anne-6'!AC33</f>
        <v>3230972</v>
      </c>
      <c r="D32" s="60">
        <f>'Anne-8'!S33+'Anne-7'!R33+'Anne-7'!U33+'Anne-6'!AD33</f>
        <v>0</v>
      </c>
      <c r="E32" s="58">
        <f t="shared" si="5"/>
        <v>3230972</v>
      </c>
      <c r="F32" s="58"/>
      <c r="G32" s="58">
        <f>E32</f>
        <v>3230972</v>
      </c>
      <c r="H32" s="58">
        <f>'Anne-6'!G33+'Anne-8'!H33</f>
        <v>3756616</v>
      </c>
      <c r="I32" s="58">
        <f>'Anne-6'!S33+'Anne-7'!I33+'Anne-8'!I33</f>
        <v>4205086</v>
      </c>
      <c r="J32" s="58">
        <f>'Anne-6'!I33+'Anne-8'!M33</f>
        <v>4139949</v>
      </c>
      <c r="K32" s="58">
        <f>'Anne-7'!J33+'Anne-8'!J33</f>
        <v>2922823</v>
      </c>
      <c r="L32" s="58">
        <f>'Anne-6'!N33</f>
        <v>1250623</v>
      </c>
      <c r="M32" s="58">
        <f>'Anne-6'!K33</f>
        <v>1852675</v>
      </c>
      <c r="N32" s="217">
        <f>'Anne-6'!X33</f>
        <v>0</v>
      </c>
      <c r="O32" s="58"/>
      <c r="P32" s="58">
        <f>'Anne-7'!L33+'Anne-8'!L33</f>
        <v>882258</v>
      </c>
      <c r="Q32" s="58">
        <f>'Anne-4'!O32</f>
        <v>1456841</v>
      </c>
      <c r="R32" s="58">
        <f>'Anne-6'!W33</f>
        <v>0</v>
      </c>
      <c r="S32" s="58">
        <f t="shared" si="6"/>
        <v>20466871</v>
      </c>
      <c r="T32" s="58">
        <f t="shared" si="7"/>
        <v>23697843</v>
      </c>
      <c r="U32" s="151">
        <f>C32/(AC32*1000)*100</f>
        <v>20.77855967966328</v>
      </c>
      <c r="V32" s="151"/>
      <c r="W32" s="151">
        <f t="shared" si="2"/>
        <v>20.77855967966328</v>
      </c>
      <c r="X32" s="151">
        <f t="shared" si="9"/>
        <v>20.77855967966328</v>
      </c>
      <c r="Y32" s="151">
        <f t="shared" si="8"/>
        <v>152.40213937316406</v>
      </c>
      <c r="Z32" s="152">
        <f t="shared" si="10"/>
        <v>13.634034118632654</v>
      </c>
      <c r="AA32" s="58">
        <f>AB32</f>
        <v>15549.547465324404</v>
      </c>
      <c r="AB32" s="58">
        <f t="shared" si="3"/>
        <v>15549.547465324404</v>
      </c>
      <c r="AC32" s="58">
        <f>'Anne-4'!Z32</f>
        <v>15549.547465324404</v>
      </c>
      <c r="AD32" s="58">
        <f>'Anne-4'!AA32</f>
        <v>0</v>
      </c>
      <c r="AE32" s="58">
        <v>13216546.058361439</v>
      </c>
      <c r="AF32" s="58">
        <v>0</v>
      </c>
      <c r="AG32" s="58">
        <f t="shared" si="4"/>
        <v>13216546.058361439</v>
      </c>
    </row>
    <row r="33" spans="1:33" ht="14.25">
      <c r="A33" s="5">
        <v>26</v>
      </c>
      <c r="B33" s="6" t="s">
        <v>46</v>
      </c>
      <c r="C33" s="60">
        <f>'Anne-8'!R34+'Anne-7'!Q34+'Anne-7'!T34+'Anne-6'!AC34</f>
        <v>2328907</v>
      </c>
      <c r="D33" s="60">
        <f>'Anne-8'!S34+'Anne-7'!R34+'Anne-7'!U34+'Anne-6'!AD34</f>
        <v>79059</v>
      </c>
      <c r="E33" s="58">
        <f t="shared" si="5"/>
        <v>2407966</v>
      </c>
      <c r="F33" s="58"/>
      <c r="G33" s="58">
        <f>E33</f>
        <v>2407966</v>
      </c>
      <c r="H33" s="58">
        <f>'Anne-6'!G34+'Anne-8'!H34</f>
        <v>3977649</v>
      </c>
      <c r="I33" s="58">
        <f>'Anne-6'!S34+'Anne-7'!I34+'Anne-8'!I34</f>
        <v>939771</v>
      </c>
      <c r="J33" s="58">
        <f>'Anne-6'!I34+'Anne-8'!M34</f>
        <v>2071285</v>
      </c>
      <c r="K33" s="58">
        <f>'Anne-7'!J34+'Anne-8'!J34</f>
        <v>1471511</v>
      </c>
      <c r="L33" s="58">
        <f>'Anne-6'!N34</f>
        <v>0</v>
      </c>
      <c r="M33" s="58">
        <f>'Anne-6'!K34</f>
        <v>3812093</v>
      </c>
      <c r="N33" s="217">
        <f>'Anne-6'!X34</f>
        <v>0</v>
      </c>
      <c r="O33" s="58"/>
      <c r="P33" s="58">
        <f>'Anne-7'!L34+'Anne-8'!L34</f>
        <v>0</v>
      </c>
      <c r="Q33" s="58">
        <f>'Anne-4'!O33</f>
        <v>0</v>
      </c>
      <c r="R33" s="58">
        <f>'Anne-6'!W34</f>
        <v>0</v>
      </c>
      <c r="S33" s="58">
        <f t="shared" si="6"/>
        <v>12272309</v>
      </c>
      <c r="T33" s="58">
        <f t="shared" si="7"/>
        <v>14680275</v>
      </c>
      <c r="U33" s="151">
        <f>C33/(AC33*1000)*100</f>
        <v>19.578948749594733</v>
      </c>
      <c r="V33" s="151"/>
      <c r="W33" s="151">
        <f t="shared" si="2"/>
        <v>20.243591910182175</v>
      </c>
      <c r="X33" s="151">
        <f t="shared" si="9"/>
        <v>20.243591910182175</v>
      </c>
      <c r="Y33" s="151">
        <f t="shared" si="8"/>
        <v>123.41598520462898</v>
      </c>
      <c r="Z33" s="152">
        <f t="shared" si="10"/>
        <v>16.402730875273114</v>
      </c>
      <c r="AA33" s="58">
        <f>AB33</f>
        <v>11894.954268411404</v>
      </c>
      <c r="AB33" s="58">
        <f t="shared" si="3"/>
        <v>11894.954268411404</v>
      </c>
      <c r="AC33" s="58">
        <f>'Anne-4'!Z33</f>
        <v>11894.954268411404</v>
      </c>
      <c r="AD33" s="58">
        <f>'Anne-4'!AA33</f>
        <v>0</v>
      </c>
      <c r="AE33" s="58">
        <v>6424623.633861813</v>
      </c>
      <c r="AF33" s="61">
        <v>4074054.461012357</v>
      </c>
      <c r="AG33" s="58">
        <f t="shared" si="4"/>
        <v>10498678.09487417</v>
      </c>
    </row>
    <row r="34" spans="1:33" ht="15">
      <c r="A34" s="5"/>
      <c r="B34" s="7" t="s">
        <v>47</v>
      </c>
      <c r="C34" s="86">
        <f aca="true" t="shared" si="11" ref="C34:J34">SUM(C8:C33)</f>
        <v>79594145</v>
      </c>
      <c r="D34" s="86">
        <f t="shared" si="11"/>
        <v>41406355</v>
      </c>
      <c r="E34" s="58">
        <f t="shared" si="11"/>
        <v>121000500</v>
      </c>
      <c r="F34" s="58">
        <f>SUM(F8:F33)</f>
        <v>0</v>
      </c>
      <c r="G34" s="58">
        <f>SUM(G8:G33)</f>
        <v>121000500</v>
      </c>
      <c r="H34" s="58">
        <f>'Anne-6'!G35+'Anne-8'!H35</f>
        <v>173394483</v>
      </c>
      <c r="I34" s="58">
        <f>'Anne-6'!S35+'Anne-7'!I35+'Anne-8'!I35</f>
        <v>105717655</v>
      </c>
      <c r="J34" s="58">
        <f t="shared" si="11"/>
        <v>133144928</v>
      </c>
      <c r="K34" s="58">
        <f>'Anne-7'!J35+'Anne-8'!J35</f>
        <v>61354863</v>
      </c>
      <c r="L34" s="58">
        <f>'Anne-6'!N35</f>
        <v>108776504</v>
      </c>
      <c r="M34" s="58">
        <f>'Anne-6'!K35</f>
        <v>57269395</v>
      </c>
      <c r="N34" s="217">
        <f>'Anne-6'!X35</f>
        <v>0</v>
      </c>
      <c r="O34" s="58">
        <f>'Anne-7'!K35+'Anne-8'!K35</f>
        <v>1774528</v>
      </c>
      <c r="P34" s="58">
        <f>SUM(P8:P33)</f>
        <v>13026424</v>
      </c>
      <c r="Q34" s="58">
        <f>'Anne-4'!O34</f>
        <v>38251158</v>
      </c>
      <c r="R34" s="58">
        <f>'Anne-6'!W35</f>
        <v>2257054</v>
      </c>
      <c r="S34" s="58">
        <f t="shared" si="6"/>
        <v>694966992</v>
      </c>
      <c r="T34" s="58">
        <f>SUM(T8:T33)</f>
        <v>815967492</v>
      </c>
      <c r="U34" s="154">
        <f>C34/(AC34*1000)*100</f>
        <v>24.057743994757004</v>
      </c>
      <c r="V34" s="154">
        <f>D34/(AD34*1000)*100</f>
        <v>4.792962068804925</v>
      </c>
      <c r="W34" s="154">
        <f t="shared" si="2"/>
        <v>10.127723200311888</v>
      </c>
      <c r="X34" s="154">
        <f t="shared" si="9"/>
        <v>10.127723200311884</v>
      </c>
      <c r="Y34" s="154">
        <f t="shared" si="8"/>
        <v>68.29635331613258</v>
      </c>
      <c r="Z34" s="154">
        <f t="shared" si="10"/>
        <v>14.829083411572968</v>
      </c>
      <c r="AA34" s="58">
        <f aca="true" t="shared" si="12" ref="AA34:AG34">SUM(AA8:AA33)</f>
        <v>1194745.3302858216</v>
      </c>
      <c r="AB34" s="58">
        <f t="shared" si="12"/>
        <v>1194745.330285821</v>
      </c>
      <c r="AC34" s="38">
        <f t="shared" si="12"/>
        <v>330846.25481652084</v>
      </c>
      <c r="AD34" s="38">
        <f t="shared" si="12"/>
        <v>863899.0754693004</v>
      </c>
      <c r="AE34" s="36">
        <f t="shared" si="12"/>
        <v>255905193.08587155</v>
      </c>
      <c r="AF34" s="36">
        <f t="shared" si="12"/>
        <v>740697077.7409049</v>
      </c>
      <c r="AG34" s="36">
        <f t="shared" si="12"/>
        <v>996602270.8267765</v>
      </c>
    </row>
    <row r="35" spans="1:33" ht="14.25">
      <c r="A35" s="4">
        <v>27</v>
      </c>
      <c r="B35" s="3" t="s">
        <v>48</v>
      </c>
      <c r="C35" s="58"/>
      <c r="D35" s="58"/>
      <c r="E35" s="58"/>
      <c r="F35" s="58">
        <f>'Anne-8'!E36+'Anne-7'!G36+'Anne-6'!E36</f>
        <v>4176519</v>
      </c>
      <c r="G35" s="87">
        <f>F35</f>
        <v>4176519</v>
      </c>
      <c r="H35" s="58">
        <f>'Anne-6'!G36+'Anne-8'!H36</f>
        <v>10188545</v>
      </c>
      <c r="I35" s="58">
        <f>'Anne-6'!S36+'Anne-7'!I36+'Anne-8'!I36</f>
        <v>7629039</v>
      </c>
      <c r="J35" s="58">
        <f>'Anne-6'!I36+'Anne-8'!M36</f>
        <v>8467880</v>
      </c>
      <c r="K35" s="58">
        <f>'Anne-7'!J36+'Anne-8'!J36</f>
        <v>3847423</v>
      </c>
      <c r="L35" s="58">
        <f>'Anne-6'!N36</f>
        <v>4737090</v>
      </c>
      <c r="M35" s="58">
        <f>'Anne-6'!K36</f>
        <v>2850948</v>
      </c>
      <c r="N35" s="217">
        <f>'Anne-6'!X36</f>
        <v>0</v>
      </c>
      <c r="O35" s="58">
        <f>'Anne-7'!K36+'Anne-8'!K36</f>
        <v>0</v>
      </c>
      <c r="P35" s="58">
        <f>'Anne-7'!L36+'Anne-8'!L36</f>
        <v>929889</v>
      </c>
      <c r="Q35" s="58">
        <f>'Anne-4'!O35</f>
        <v>0</v>
      </c>
      <c r="R35" s="58">
        <f>'Anne-6'!W36</f>
        <v>0</v>
      </c>
      <c r="S35" s="58">
        <f t="shared" si="6"/>
        <v>38650814</v>
      </c>
      <c r="T35" s="58">
        <f>G35+S35</f>
        <v>42827333</v>
      </c>
      <c r="U35" s="151"/>
      <c r="V35" s="151"/>
      <c r="W35" s="151"/>
      <c r="X35" s="151">
        <f t="shared" si="9"/>
        <v>24.27888282996599</v>
      </c>
      <c r="Y35" s="151">
        <f t="shared" si="8"/>
        <v>248.96326338439644</v>
      </c>
      <c r="Z35" s="152"/>
      <c r="AA35" s="58">
        <f>AB35</f>
        <v>17202.27009310811</v>
      </c>
      <c r="AB35" s="58">
        <f>AC35+AD35</f>
        <v>17202.27009310811</v>
      </c>
      <c r="AC35" s="58">
        <f>'Anne-4'!Z35</f>
        <v>16416.322790062735</v>
      </c>
      <c r="AD35" s="58">
        <f>'Anne-4'!AA35</f>
        <v>785.947303045372</v>
      </c>
      <c r="AE35" s="58">
        <f>'Anne-4'!AB35</f>
        <v>0</v>
      </c>
      <c r="AF35" s="58">
        <f>'Anne-4'!AC35</f>
        <v>17607.999999999985</v>
      </c>
      <c r="AG35" s="58">
        <f>'Anne-4'!AD35</f>
        <v>842.9999999999995</v>
      </c>
    </row>
    <row r="36" spans="1:33" ht="14.25">
      <c r="A36" s="4">
        <v>28</v>
      </c>
      <c r="B36" s="3" t="s">
        <v>49</v>
      </c>
      <c r="C36" s="58"/>
      <c r="D36" s="88"/>
      <c r="E36" s="58"/>
      <c r="F36" s="58">
        <f>'Anne-8'!E37+'Anne-7'!G37+'Anne-6'!E37</f>
        <v>4580902</v>
      </c>
      <c r="G36" s="87">
        <f>F36</f>
        <v>4580902</v>
      </c>
      <c r="H36" s="58">
        <f>'Anne-6'!G37+'Anne-8'!H37</f>
        <v>3891056</v>
      </c>
      <c r="I36" s="58">
        <f>'Anne-6'!S37+'Anne-7'!I37+'Anne-8'!I37</f>
        <v>6220410</v>
      </c>
      <c r="J36" s="58">
        <f>'Anne-6'!I37+'Anne-8'!M37</f>
        <v>6116990</v>
      </c>
      <c r="K36" s="58">
        <f>'Anne-7'!J37+'Anne-8'!J37</f>
        <v>3979089</v>
      </c>
      <c r="L36" s="58">
        <f>'Anne-6'!N37</f>
        <v>2886271</v>
      </c>
      <c r="M36" s="58">
        <f>'Anne-6'!K37</f>
        <v>1450948</v>
      </c>
      <c r="N36" s="217">
        <f>'Anne-6'!X37</f>
        <v>3028539</v>
      </c>
      <c r="O36" s="58">
        <f>'Anne-7'!K37+'Anne-8'!K37</f>
        <v>0</v>
      </c>
      <c r="P36" s="58">
        <f>'Anne-7'!L37+'Anne-8'!L37</f>
        <v>447707</v>
      </c>
      <c r="Q36" s="58">
        <f>'Anne-4'!O36</f>
        <v>1868314</v>
      </c>
      <c r="R36" s="58">
        <f>'Anne-6'!W37</f>
        <v>0</v>
      </c>
      <c r="S36" s="58">
        <f t="shared" si="6"/>
        <v>29889324</v>
      </c>
      <c r="T36" s="58">
        <f>G36+S36</f>
        <v>34470226</v>
      </c>
      <c r="U36" s="151"/>
      <c r="V36" s="151"/>
      <c r="W36" s="151"/>
      <c r="X36" s="151">
        <f t="shared" si="9"/>
        <v>18.990050563763695</v>
      </c>
      <c r="Y36" s="151">
        <f t="shared" si="8"/>
        <v>142.89572985502897</v>
      </c>
      <c r="Z36" s="152"/>
      <c r="AA36" s="58">
        <f>AB36</f>
        <v>24122.642457525384</v>
      </c>
      <c r="AB36" s="58">
        <f>AC36+AD36</f>
        <v>24122.642457525384</v>
      </c>
      <c r="AC36" s="58">
        <f>'Anne-4'!Z36</f>
        <v>24122.642457525384</v>
      </c>
      <c r="AD36" s="58">
        <f>'Anne-4'!AA36</f>
        <v>0</v>
      </c>
      <c r="AE36" s="58">
        <v>6424623.633861813</v>
      </c>
      <c r="AF36" s="61">
        <v>4074054.461012357</v>
      </c>
      <c r="AG36" s="66">
        <v>16629998.819593966</v>
      </c>
    </row>
    <row r="37" spans="1:33" ht="15">
      <c r="A37" s="4"/>
      <c r="B37" s="3" t="s">
        <v>50</v>
      </c>
      <c r="C37" s="58">
        <f aca="true" t="shared" si="13" ref="C37:J37">SUM(C34:C36)</f>
        <v>79594145</v>
      </c>
      <c r="D37" s="58">
        <f t="shared" si="13"/>
        <v>41406355</v>
      </c>
      <c r="E37" s="58">
        <f t="shared" si="13"/>
        <v>121000500</v>
      </c>
      <c r="F37" s="58">
        <f t="shared" si="13"/>
        <v>8757421</v>
      </c>
      <c r="G37" s="58">
        <f>SUM(G34:G36)</f>
        <v>129757921</v>
      </c>
      <c r="H37" s="58">
        <f t="shared" si="13"/>
        <v>187474084</v>
      </c>
      <c r="I37" s="58">
        <f t="shared" si="13"/>
        <v>119567104</v>
      </c>
      <c r="J37" s="58">
        <f t="shared" si="13"/>
        <v>147729798</v>
      </c>
      <c r="K37" s="58">
        <f>'Anne-7'!J38+'Anne-8'!J38</f>
        <v>69181375</v>
      </c>
      <c r="L37" s="58">
        <f>SUM(L34:L36)</f>
        <v>116399865</v>
      </c>
      <c r="M37" s="58">
        <f>SUM(M34:M36)</f>
        <v>61571291</v>
      </c>
      <c r="N37" s="217">
        <f>'Anne-6'!X38</f>
        <v>3028539</v>
      </c>
      <c r="O37" s="58">
        <f>SUM(O34:O36)</f>
        <v>1774528</v>
      </c>
      <c r="P37" s="58">
        <f>SUM(P34:P36)</f>
        <v>14404020</v>
      </c>
      <c r="Q37" s="58">
        <f>'Anne-4'!O37</f>
        <v>40119472</v>
      </c>
      <c r="R37" s="58">
        <f>'Anne-6'!W38</f>
        <v>2257054</v>
      </c>
      <c r="S37" s="58">
        <f t="shared" si="6"/>
        <v>763507130</v>
      </c>
      <c r="T37" s="58">
        <f>SUM(T34:T36)</f>
        <v>893265051</v>
      </c>
      <c r="U37" s="154">
        <f>C34/(AC34*1000)*100</f>
        <v>24.057743994757004</v>
      </c>
      <c r="V37" s="154">
        <f>D34/(AD34*1000)*100</f>
        <v>4.792962068804925</v>
      </c>
      <c r="W37" s="154">
        <f>E34/(AB34*1000)*100</f>
        <v>10.127723200311888</v>
      </c>
      <c r="X37" s="154">
        <f t="shared" si="9"/>
        <v>10.497617085436811</v>
      </c>
      <c r="Y37" s="154">
        <f t="shared" si="8"/>
        <v>72.2665282314533</v>
      </c>
      <c r="Z37" s="154">
        <f>G34/T37*100</f>
        <v>13.545867473997927</v>
      </c>
      <c r="AA37" s="66">
        <f aca="true" t="shared" si="14" ref="AA37:AG37">SUM(AA34:AA36)</f>
        <v>1236070.242836455</v>
      </c>
      <c r="AB37" s="58">
        <f t="shared" si="14"/>
        <v>1236070.2428364547</v>
      </c>
      <c r="AC37" s="58">
        <f t="shared" si="14"/>
        <v>371385.22006410896</v>
      </c>
      <c r="AD37" s="58">
        <f t="shared" si="14"/>
        <v>864685.0227723458</v>
      </c>
      <c r="AE37" s="67">
        <f t="shared" si="14"/>
        <v>262329816.71973336</v>
      </c>
      <c r="AF37" s="67">
        <f t="shared" si="14"/>
        <v>744788740.2019173</v>
      </c>
      <c r="AG37" s="67">
        <f t="shared" si="14"/>
        <v>1013233112.6463704</v>
      </c>
    </row>
    <row r="38" spans="1:33" ht="14.25">
      <c r="A38" s="3"/>
      <c r="B38" s="3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36"/>
      <c r="P38" s="36"/>
      <c r="Q38" s="36"/>
      <c r="R38" s="36"/>
      <c r="S38" s="56"/>
      <c r="T38" s="56"/>
      <c r="U38" s="64"/>
      <c r="V38" s="64"/>
      <c r="W38" s="64"/>
      <c r="X38" s="64"/>
      <c r="Y38" s="68"/>
      <c r="Z38" s="68"/>
      <c r="AA38" s="69"/>
      <c r="AB38" s="69"/>
      <c r="AC38" s="64"/>
      <c r="AD38" s="64"/>
      <c r="AE38" s="69"/>
      <c r="AF38" s="69"/>
      <c r="AG38" s="69"/>
    </row>
    <row r="39" spans="1:33" ht="14.25">
      <c r="A39" s="3"/>
      <c r="B39" s="3" t="s">
        <v>51</v>
      </c>
      <c r="C39" s="153">
        <f>C37/T37*100</f>
        <v>8.910473426772409</v>
      </c>
      <c r="D39" s="153">
        <f>D37/T37*100</f>
        <v>4.635394047225519</v>
      </c>
      <c r="E39" s="153">
        <f>E37/T37*100</f>
        <v>13.545867473997927</v>
      </c>
      <c r="F39" s="153">
        <f>F37/U37</f>
        <v>364016.71752382675</v>
      </c>
      <c r="G39" s="153">
        <f>G37/T37*100</f>
        <v>14.526250730926671</v>
      </c>
      <c r="H39" s="153">
        <f>H37/T37*100</f>
        <v>20.987509115029734</v>
      </c>
      <c r="I39" s="153">
        <f>I37/T37*100</f>
        <v>13.385400432508357</v>
      </c>
      <c r="J39" s="153">
        <f>J37/T37*100</f>
        <v>16.53818178989743</v>
      </c>
      <c r="K39" s="153">
        <f>K37/T37*100</f>
        <v>7.744775744058524</v>
      </c>
      <c r="L39" s="153">
        <f>L37/T37*100</f>
        <v>13.030831651780364</v>
      </c>
      <c r="M39" s="153">
        <f>M37/T37*100</f>
        <v>6.892835551001536</v>
      </c>
      <c r="N39" s="153">
        <f>N37/T37*100</f>
        <v>0.33904147448840466</v>
      </c>
      <c r="O39" s="153">
        <f>O37/T37*100</f>
        <v>0.19865637841908584</v>
      </c>
      <c r="P39" s="153">
        <f>P37/T37*100</f>
        <v>1.6125135517028082</v>
      </c>
      <c r="Q39" s="153">
        <f>Q37/T37*100</f>
        <v>4.491328968382533</v>
      </c>
      <c r="R39" s="153">
        <f>R37/T37*100</f>
        <v>0.25267461180455386</v>
      </c>
      <c r="S39" s="153">
        <f>S37/T37*100</f>
        <v>85.47374926907332</v>
      </c>
      <c r="T39" s="153">
        <f>T37/T37*100</f>
        <v>100</v>
      </c>
      <c r="U39" s="64"/>
      <c r="V39" s="64"/>
      <c r="W39" s="64"/>
      <c r="X39" s="64"/>
      <c r="Y39" s="68"/>
      <c r="Z39" s="68"/>
      <c r="AA39" s="69"/>
      <c r="AB39" s="69"/>
      <c r="AC39" s="65"/>
      <c r="AD39" s="65"/>
      <c r="AE39" s="69"/>
      <c r="AF39" s="69"/>
      <c r="AG39" s="69"/>
    </row>
    <row r="40" spans="1:33" ht="14.25">
      <c r="A40" s="101"/>
      <c r="B40" s="381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64"/>
      <c r="V40" s="64"/>
      <c r="W40" s="64"/>
      <c r="X40" s="64"/>
      <c r="Y40" s="450"/>
      <c r="Z40" s="68"/>
      <c r="AA40" s="69"/>
      <c r="AB40" s="449"/>
      <c r="AC40" s="65"/>
      <c r="AD40" s="65"/>
      <c r="AE40" s="69"/>
      <c r="AF40" s="69"/>
      <c r="AG40" s="69"/>
    </row>
    <row r="41" spans="2:26" ht="14.25">
      <c r="B41" s="382" t="s">
        <v>198</v>
      </c>
      <c r="C41" s="81"/>
      <c r="D41" s="81"/>
      <c r="E41" s="81"/>
      <c r="Y41" s="32"/>
      <c r="Z41" s="32"/>
    </row>
    <row r="42" spans="2:33" ht="15">
      <c r="B42" s="26" t="s">
        <v>197</v>
      </c>
      <c r="AA42" s="264"/>
      <c r="AB42" s="42"/>
      <c r="AC42" s="42"/>
      <c r="AD42" s="42"/>
      <c r="AE42" s="42">
        <f>AE22+AE23+AE10</f>
        <v>5972077.622558512</v>
      </c>
      <c r="AF42" s="42">
        <f>AF22+AF23+AF10</f>
        <v>32523010.472636186</v>
      </c>
      <c r="AG42" s="42">
        <f>AG22+AG23+AG10</f>
        <v>38495088.0951947</v>
      </c>
    </row>
    <row r="43" spans="2:30" ht="15">
      <c r="B43" s="26" t="s">
        <v>78</v>
      </c>
      <c r="T43" s="81"/>
      <c r="Y43" s="445"/>
      <c r="Z43" s="23"/>
      <c r="AA43" s="42"/>
      <c r="AB43" s="42"/>
      <c r="AC43" s="157"/>
      <c r="AD43" s="157"/>
    </row>
    <row r="44" ht="15">
      <c r="B44" s="26" t="s">
        <v>74</v>
      </c>
    </row>
    <row r="45" spans="2:27" ht="15">
      <c r="B45" s="26" t="s">
        <v>73</v>
      </c>
      <c r="AA45" s="42"/>
    </row>
    <row r="46" spans="2:19" ht="15">
      <c r="B46" s="26" t="s">
        <v>77</v>
      </c>
      <c r="S46" s="81"/>
    </row>
    <row r="48" spans="5:21" ht="14.25">
      <c r="E48" s="81"/>
      <c r="T48" s="81"/>
      <c r="U48" s="81"/>
    </row>
    <row r="49" spans="5:20" ht="14.25"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ht="14.25">
      <c r="D50" s="157">
        <f>D37/100000</f>
        <v>414.06355</v>
      </c>
    </row>
    <row r="51" spans="19:29" ht="14.25">
      <c r="S51" s="77">
        <v>3104575</v>
      </c>
      <c r="T51" s="295">
        <f>T10+T22</f>
        <v>23410546</v>
      </c>
      <c r="U51" s="78"/>
      <c r="V51" s="77"/>
      <c r="W51" s="77"/>
      <c r="AB51" s="81">
        <f>T10+T22</f>
        <v>23410546</v>
      </c>
      <c r="AC51" s="92">
        <f>AB51/(AB52*1000)*100</f>
        <v>51.007870466434525</v>
      </c>
    </row>
    <row r="52" spans="19:33" ht="14.25">
      <c r="S52" s="77"/>
      <c r="T52" s="295">
        <f>AB10+AB22+AB23</f>
        <v>45895.94857798503</v>
      </c>
      <c r="U52" s="77"/>
      <c r="V52" s="77"/>
      <c r="W52" s="77"/>
      <c r="AB52" s="42">
        <f>AB10+AB22+AB23</f>
        <v>45895.94857798503</v>
      </c>
      <c r="AC52">
        <f>AB52*1000</f>
        <v>45895948.577985026</v>
      </c>
      <c r="AG52" s="41" t="s">
        <v>94</v>
      </c>
    </row>
    <row r="53" spans="19:33" ht="15.75">
      <c r="S53" s="79"/>
      <c r="T53" s="296">
        <f>T51/(T52*1000)*100</f>
        <v>51.007870466434525</v>
      </c>
      <c r="U53" s="296">
        <f>S51/T51*100</f>
        <v>13.26143781524788</v>
      </c>
      <c r="V53" s="79"/>
      <c r="W53" s="77"/>
      <c r="AA53" s="43"/>
      <c r="AB53" s="421">
        <v>3514556</v>
      </c>
      <c r="AC53">
        <v>3514556</v>
      </c>
      <c r="AE53" s="41" t="s">
        <v>95</v>
      </c>
      <c r="AG53" s="43">
        <v>34582571</v>
      </c>
    </row>
    <row r="54" spans="4:33" ht="15">
      <c r="D54" s="92"/>
      <c r="E54" s="92"/>
      <c r="F54" s="92"/>
      <c r="G54" s="92"/>
      <c r="S54" s="79"/>
      <c r="T54" s="79"/>
      <c r="U54" s="79"/>
      <c r="V54" s="79"/>
      <c r="W54" s="77"/>
      <c r="AA54" s="44"/>
      <c r="AB54" s="41">
        <f>AB53/(AB52*1000)*100</f>
        <v>7.657660662635987</v>
      </c>
      <c r="AC54">
        <f>AC53/AC52*100</f>
        <v>7.657660662635987</v>
      </c>
      <c r="AE54" s="41">
        <v>14706583</v>
      </c>
      <c r="AG54" s="44">
        <f>AG53/AG37*100</f>
        <v>3.4130912786374465</v>
      </c>
    </row>
    <row r="55" spans="19:31" ht="14.25">
      <c r="S55" s="78"/>
      <c r="T55" s="78"/>
      <c r="U55" s="78"/>
      <c r="V55" s="78"/>
      <c r="W55" s="77"/>
      <c r="AE55" s="41">
        <v>-14768247</v>
      </c>
    </row>
    <row r="56" spans="2:31" ht="14.25">
      <c r="B56" s="95"/>
      <c r="C56" s="177" t="s">
        <v>87</v>
      </c>
      <c r="D56" s="177" t="s">
        <v>88</v>
      </c>
      <c r="E56" s="177" t="s">
        <v>47</v>
      </c>
      <c r="S56" s="92"/>
      <c r="AE56" s="41">
        <f>SUM(AE54:AE55)</f>
        <v>-61664</v>
      </c>
    </row>
    <row r="57" spans="2:5" ht="14.25">
      <c r="B57" s="177" t="s">
        <v>181</v>
      </c>
      <c r="C57" s="106">
        <f>C10+C22+C23</f>
        <v>2218452</v>
      </c>
      <c r="D57" s="106">
        <f>D10+D22+D23</f>
        <v>1156870</v>
      </c>
      <c r="E57" s="106">
        <f>SUM(C57:D57)</f>
        <v>3375322</v>
      </c>
    </row>
    <row r="58" spans="2:19" ht="14.25">
      <c r="B58" s="177" t="s">
        <v>182</v>
      </c>
      <c r="C58" s="106">
        <f>AC10+AC22+AC23</f>
        <v>8150.831928650223</v>
      </c>
      <c r="D58" s="106">
        <f>AD10+AD22+AD23</f>
        <v>37745.1166493348</v>
      </c>
      <c r="E58" s="106">
        <f>SUM(C58:D58)</f>
        <v>45895.94857798502</v>
      </c>
      <c r="S58" s="92"/>
    </row>
    <row r="59" spans="2:5" ht="14.25">
      <c r="B59" s="177" t="s">
        <v>183</v>
      </c>
      <c r="C59" s="224">
        <f>C57/(C58*1000)*100</f>
        <v>27.217491655080362</v>
      </c>
      <c r="D59" s="224">
        <f>D57/(D58*1000)*100</f>
        <v>3.06495277454756</v>
      </c>
      <c r="E59" s="224">
        <f>E57/(E58*1000)*100</f>
        <v>7.3542918374696065</v>
      </c>
    </row>
  </sheetData>
  <sheetProtection/>
  <mergeCells count="12">
    <mergeCell ref="AB6:AD6"/>
    <mergeCell ref="U6:W6"/>
    <mergeCell ref="A6:A7"/>
    <mergeCell ref="B6:B7"/>
    <mergeCell ref="G6:G7"/>
    <mergeCell ref="C6:E6"/>
    <mergeCell ref="AE6:AG6"/>
    <mergeCell ref="Z6:Z7"/>
    <mergeCell ref="AA6:AA7"/>
    <mergeCell ref="S6:S7"/>
    <mergeCell ref="T6:T7"/>
    <mergeCell ref="X6:Y6"/>
  </mergeCells>
  <conditionalFormatting sqref="Y8">
    <cfRule type="top10" priority="29" dxfId="1" stopIfTrue="1" rank="5" bottom="1"/>
    <cfRule type="top10" priority="35" dxfId="1" stopIfTrue="1" rank="5" bottom="1"/>
  </conditionalFormatting>
  <conditionalFormatting sqref="Z8">
    <cfRule type="cellIs" priority="26" dxfId="0" operator="greaterThan" stopIfTrue="1">
      <formula>0.4</formula>
    </cfRule>
  </conditionalFormatting>
  <conditionalFormatting sqref="U8:V37">
    <cfRule type="top10" priority="23" dxfId="1" stopIfTrue="1" rank="5" bottom="1"/>
    <cfRule type="top10" priority="24" dxfId="0" stopIfTrue="1" rank="5"/>
  </conditionalFormatting>
  <conditionalFormatting sqref="W8:W37">
    <cfRule type="top10" priority="19" dxfId="1" stopIfTrue="1" rank="5" bottom="1"/>
    <cfRule type="top10" priority="20" dxfId="0" stopIfTrue="1" rank="5"/>
  </conditionalFormatting>
  <conditionalFormatting sqref="X9:X37">
    <cfRule type="top10" priority="17" dxfId="1" stopIfTrue="1" rank="5" bottom="1"/>
    <cfRule type="top10" priority="18" dxfId="0" stopIfTrue="1" rank="5"/>
  </conditionalFormatting>
  <conditionalFormatting sqref="Y9:Y37">
    <cfRule type="top10" priority="15" dxfId="1" stopIfTrue="1" rank="5" bottom="1"/>
    <cfRule type="top10" priority="16" dxfId="0" stopIfTrue="1" rank="5"/>
  </conditionalFormatting>
  <conditionalFormatting sqref="Z9:Z37">
    <cfRule type="top10" priority="13" dxfId="1" stopIfTrue="1" rank="5" bottom="1"/>
    <cfRule type="top10" priority="14" dxfId="0" stopIfTrue="1" rank="5"/>
  </conditionalFormatting>
  <conditionalFormatting sqref="U8:U34">
    <cfRule type="top10" priority="11" dxfId="1" stopIfTrue="1" rank="5" bottom="1"/>
    <cfRule type="top10" priority="12" dxfId="0" stopIfTrue="1" rank="5"/>
  </conditionalFormatting>
  <conditionalFormatting sqref="V8:V33">
    <cfRule type="top10" priority="9" dxfId="1" stopIfTrue="1" rank="5" bottom="1"/>
    <cfRule type="top10" priority="10" dxfId="0" stopIfTrue="1" rank="5"/>
  </conditionalFormatting>
  <conditionalFormatting sqref="W8:W33">
    <cfRule type="top10" priority="7" dxfId="1" stopIfTrue="1" rank="5" bottom="1"/>
    <cfRule type="top10" priority="8" dxfId="0" stopIfTrue="1" rank="5"/>
  </conditionalFormatting>
  <conditionalFormatting sqref="X9:X33">
    <cfRule type="top10" priority="5" dxfId="1" stopIfTrue="1" rank="5" bottom="1"/>
    <cfRule type="top10" priority="6" dxfId="0" stopIfTrue="1" rank="5"/>
  </conditionalFormatting>
  <conditionalFormatting sqref="Y9:Y33">
    <cfRule type="top10" priority="3" dxfId="1" stopIfTrue="1" rank="5" bottom="1"/>
    <cfRule type="top10" priority="4" dxfId="0" stopIfTrue="1" rank="5"/>
  </conditionalFormatting>
  <conditionalFormatting sqref="Z9:Z33">
    <cfRule type="top10" priority="1" dxfId="1" stopIfTrue="1" rank="5" bottom="1"/>
    <cfRule type="top10" priority="2" dxfId="0" stopIfTrue="1" rank="5"/>
  </conditionalFormatting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4" sqref="N14"/>
    </sheetView>
  </sheetViews>
  <sheetFormatPr defaultColWidth="9.140625" defaultRowHeight="12.75"/>
  <cols>
    <col min="1" max="1" width="5.7109375" style="26" customWidth="1"/>
    <col min="2" max="2" width="27.28125" style="26" customWidth="1"/>
    <col min="3" max="3" width="9.28125" style="26" customWidth="1"/>
    <col min="4" max="4" width="9.421875" style="26" customWidth="1"/>
    <col min="5" max="5" width="9.8515625" style="26" customWidth="1"/>
    <col min="6" max="6" width="12.00390625" style="26" customWidth="1"/>
    <col min="7" max="7" width="10.7109375" style="26" customWidth="1"/>
    <col min="8" max="8" width="9.00390625" style="26" customWidth="1"/>
    <col min="9" max="9" width="8.8515625" style="26" customWidth="1"/>
    <col min="10" max="10" width="9.7109375" style="26" bestFit="1" customWidth="1"/>
    <col min="11" max="11" width="9.7109375" style="26" customWidth="1"/>
    <col min="12" max="12" width="10.421875" style="26" customWidth="1"/>
    <col min="13" max="13" width="11.140625" style="26" customWidth="1"/>
    <col min="14" max="14" width="14.57421875" style="26" customWidth="1"/>
    <col min="15" max="15" width="10.421875" style="26" customWidth="1"/>
    <col min="16" max="16" width="13.421875" style="26" customWidth="1"/>
    <col min="17" max="17" width="9.57421875" style="26" bestFit="1" customWidth="1"/>
    <col min="18" max="21" width="9.140625" style="26" customWidth="1"/>
    <col min="22" max="22" width="12.421875" style="26" customWidth="1"/>
    <col min="23" max="16384" width="9.140625" style="26" customWidth="1"/>
  </cols>
  <sheetData>
    <row r="1" ht="15.75">
      <c r="K1" s="76" t="s">
        <v>119</v>
      </c>
    </row>
    <row r="2" spans="2:7" ht="15">
      <c r="B2" s="2" t="str">
        <f>'Anne-1'!B2</f>
        <v>No. 1-2(1)/Market Share/2012-CP&amp;M </v>
      </c>
      <c r="C2" s="2"/>
      <c r="D2" s="2"/>
      <c r="E2" s="2"/>
      <c r="F2" s="2" t="str">
        <f>'Anne-1'!G2</f>
        <v>Dated: 28th February 2013.</v>
      </c>
      <c r="G2" s="2"/>
    </row>
    <row r="4" spans="2:7" ht="15.75">
      <c r="B4" s="29" t="s">
        <v>235</v>
      </c>
      <c r="G4" s="74"/>
    </row>
    <row r="5" ht="15.75" thickBot="1">
      <c r="B5" s="26" t="s">
        <v>234</v>
      </c>
    </row>
    <row r="6" spans="1:12" ht="17.25" customHeight="1">
      <c r="A6" s="480" t="s">
        <v>62</v>
      </c>
      <c r="B6" s="478" t="s">
        <v>64</v>
      </c>
      <c r="C6" s="483" t="s">
        <v>140</v>
      </c>
      <c r="D6" s="484"/>
      <c r="E6" s="484"/>
      <c r="F6" s="484"/>
      <c r="G6" s="485"/>
      <c r="H6" s="483" t="s">
        <v>143</v>
      </c>
      <c r="I6" s="484"/>
      <c r="J6" s="484"/>
      <c r="K6" s="484"/>
      <c r="L6" s="485"/>
    </row>
    <row r="7" spans="1:12" ht="16.5" customHeight="1">
      <c r="A7" s="481"/>
      <c r="B7" s="479"/>
      <c r="C7" s="482" t="s">
        <v>141</v>
      </c>
      <c r="D7" s="487" t="s">
        <v>139</v>
      </c>
      <c r="E7" s="487"/>
      <c r="F7" s="487"/>
      <c r="G7" s="486" t="s">
        <v>70</v>
      </c>
      <c r="H7" s="475" t="s">
        <v>142</v>
      </c>
      <c r="I7" s="487" t="s">
        <v>139</v>
      </c>
      <c r="J7" s="487"/>
      <c r="K7" s="487"/>
      <c r="L7" s="486" t="s">
        <v>70</v>
      </c>
    </row>
    <row r="8" spans="1:12" ht="21" customHeight="1">
      <c r="A8" s="482"/>
      <c r="B8" s="474"/>
      <c r="C8" s="482"/>
      <c r="D8" s="27" t="s">
        <v>131</v>
      </c>
      <c r="E8" s="27" t="s">
        <v>138</v>
      </c>
      <c r="F8" s="27" t="s">
        <v>89</v>
      </c>
      <c r="G8" s="486"/>
      <c r="H8" s="475"/>
      <c r="I8" s="27" t="s">
        <v>131</v>
      </c>
      <c r="J8" s="27" t="s">
        <v>138</v>
      </c>
      <c r="K8" s="27" t="s">
        <v>89</v>
      </c>
      <c r="L8" s="486"/>
    </row>
    <row r="9" spans="1:23" ht="15.75">
      <c r="A9" s="195">
        <v>1</v>
      </c>
      <c r="B9" s="196" t="s">
        <v>1</v>
      </c>
      <c r="C9" s="190">
        <f>'Anne-8'!D35/1000000</f>
        <v>20.759607</v>
      </c>
      <c r="D9" s="181">
        <f>'Anne-7'!F38/1000000</f>
        <v>2.77976</v>
      </c>
      <c r="E9" s="181">
        <f>'Anne-6'!D35/1000000</f>
        <v>97.461133</v>
      </c>
      <c r="F9" s="181">
        <f>E9+D9</f>
        <v>100.240893</v>
      </c>
      <c r="G9" s="193">
        <f aca="true" t="shared" si="0" ref="G9:G21">C9+F9</f>
        <v>121.0005</v>
      </c>
      <c r="H9" s="199">
        <f>C9/C22*100</f>
        <v>68.02143174390297</v>
      </c>
      <c r="I9" s="150">
        <f>D9/$D$22*100</f>
        <v>1.626540124182432</v>
      </c>
      <c r="J9" s="150">
        <f aca="true" t="shared" si="1" ref="J9:J17">E9/$E$22*100</f>
        <v>14.087120755152938</v>
      </c>
      <c r="K9" s="150">
        <f aca="true" t="shared" si="2" ref="K9:K22">F9/$F$22*100</f>
        <v>11.618820841228612</v>
      </c>
      <c r="L9" s="200">
        <f aca="true" t="shared" si="3" ref="L9:L22">G9/$G$22*100</f>
        <v>13.545867473997927</v>
      </c>
      <c r="N9" s="74"/>
      <c r="O9" s="180"/>
      <c r="P9" s="180"/>
      <c r="V9" s="160">
        <v>29.14983</v>
      </c>
      <c r="W9" s="160">
        <f>V9/V15*100</f>
        <v>77.09726343320534</v>
      </c>
    </row>
    <row r="10" spans="1:23" ht="15.75">
      <c r="A10" s="195">
        <v>2</v>
      </c>
      <c r="B10" s="196" t="s">
        <v>75</v>
      </c>
      <c r="C10" s="192">
        <f>'Anne-8'!H38/1000000</f>
        <v>3.280517</v>
      </c>
      <c r="D10" s="184"/>
      <c r="E10" s="182">
        <f>'Anne-6'!G38/1000000</f>
        <v>184.193567</v>
      </c>
      <c r="F10" s="181">
        <f aca="true" t="shared" si="4" ref="F10:F21">E10+D10</f>
        <v>184.193567</v>
      </c>
      <c r="G10" s="191">
        <f t="shared" si="0"/>
        <v>187.474084</v>
      </c>
      <c r="H10" s="202">
        <f>C10/C22*100</f>
        <v>10.749021559040754</v>
      </c>
      <c r="I10" s="150"/>
      <c r="J10" s="149">
        <f t="shared" si="1"/>
        <v>26.62350560455062</v>
      </c>
      <c r="K10" s="149">
        <f t="shared" si="2"/>
        <v>21.349690640523708</v>
      </c>
      <c r="L10" s="201">
        <f t="shared" si="3"/>
        <v>20.987509115029734</v>
      </c>
      <c r="N10" s="74"/>
      <c r="O10" s="180"/>
      <c r="P10" s="180"/>
      <c r="Q10" s="74"/>
      <c r="V10" s="160">
        <v>3.573206</v>
      </c>
      <c r="W10" s="160">
        <f>V10/V15*100</f>
        <v>9.450635021991891</v>
      </c>
    </row>
    <row r="11" spans="1:23" ht="15.75">
      <c r="A11" s="195">
        <v>3</v>
      </c>
      <c r="B11" s="196" t="s">
        <v>13</v>
      </c>
      <c r="C11" s="192">
        <f>'Anne-8'!I38/1000000</f>
        <v>1.259301</v>
      </c>
      <c r="D11" s="181">
        <f>'Anne-7'!I38/1000000</f>
        <v>84.312405</v>
      </c>
      <c r="E11" s="181">
        <f>'Anne-6'!S38/1000000</f>
        <v>33.995398</v>
      </c>
      <c r="F11" s="181">
        <f t="shared" si="4"/>
        <v>118.307803</v>
      </c>
      <c r="G11" s="191">
        <f t="shared" si="0"/>
        <v>119.567104</v>
      </c>
      <c r="H11" s="202">
        <f>C11/C22*100</f>
        <v>4.126256196301248</v>
      </c>
      <c r="I11" s="149">
        <f>D11/$D$22*100</f>
        <v>49.334298536139634</v>
      </c>
      <c r="J11" s="150">
        <f t="shared" si="1"/>
        <v>4.913725728444842</v>
      </c>
      <c r="K11" s="149">
        <f t="shared" si="2"/>
        <v>13.712938163633167</v>
      </c>
      <c r="L11" s="200">
        <f t="shared" si="3"/>
        <v>13.385400432508357</v>
      </c>
      <c r="N11" s="74"/>
      <c r="O11" s="180"/>
      <c r="P11" s="180"/>
      <c r="Q11" s="74"/>
      <c r="V11" s="160">
        <v>2.756253</v>
      </c>
      <c r="W11" s="160">
        <f>V11/V15*100</f>
        <v>7.2899074756032025</v>
      </c>
    </row>
    <row r="12" spans="1:23" ht="15.75">
      <c r="A12" s="195">
        <v>4</v>
      </c>
      <c r="B12" s="196" t="s">
        <v>109</v>
      </c>
      <c r="C12" s="192">
        <f>'Anne-8'!M38/1000000</f>
        <v>0.02964</v>
      </c>
      <c r="D12" s="184"/>
      <c r="E12" s="182">
        <f>'Anne-6'!I38/1000000</f>
        <v>147.700158</v>
      </c>
      <c r="F12" s="181">
        <f t="shared" si="4"/>
        <v>147.700158</v>
      </c>
      <c r="G12" s="191">
        <f t="shared" si="0"/>
        <v>147.729798</v>
      </c>
      <c r="H12" s="202">
        <f>C12/C22*100</f>
        <v>0.09711914280888286</v>
      </c>
      <c r="I12" s="149"/>
      <c r="J12" s="149">
        <f t="shared" si="1"/>
        <v>21.348715095495226</v>
      </c>
      <c r="K12" s="149">
        <f t="shared" si="2"/>
        <v>17.119776397274897</v>
      </c>
      <c r="L12" s="201">
        <f t="shared" si="3"/>
        <v>16.53818178989743</v>
      </c>
      <c r="N12" s="74"/>
      <c r="O12" s="180"/>
      <c r="P12" s="180"/>
      <c r="Q12" s="74"/>
      <c r="V12" s="160">
        <v>1.115693</v>
      </c>
      <c r="W12" s="160">
        <f>V12/V15*100</f>
        <v>2.950853474328432</v>
      </c>
    </row>
    <row r="13" spans="1:23" ht="15.75">
      <c r="A13" s="195">
        <v>5</v>
      </c>
      <c r="B13" s="196" t="s">
        <v>71</v>
      </c>
      <c r="C13" s="192">
        <f>'Anne-8'!J38/1000000</f>
        <v>1.499361</v>
      </c>
      <c r="D13" s="181">
        <f>'Anne-7'!J38/1000000</f>
        <v>67.682014</v>
      </c>
      <c r="E13" s="185"/>
      <c r="F13" s="181">
        <f>E13+D13</f>
        <v>67.682014</v>
      </c>
      <c r="G13" s="193">
        <f t="shared" si="0"/>
        <v>69.18137499999999</v>
      </c>
      <c r="H13" s="202">
        <f>C13/C22*100</f>
        <v>4.912842614071168</v>
      </c>
      <c r="I13" s="149">
        <f>D13/$D$22*100</f>
        <v>39.60324324994859</v>
      </c>
      <c r="J13" s="150">
        <f t="shared" si="1"/>
        <v>0</v>
      </c>
      <c r="K13" s="150">
        <f t="shared" si="2"/>
        <v>7.84495400334798</v>
      </c>
      <c r="L13" s="200">
        <f t="shared" si="3"/>
        <v>7.744775744058523</v>
      </c>
      <c r="N13" s="74"/>
      <c r="O13" s="180"/>
      <c r="P13" s="180"/>
      <c r="Q13" s="74"/>
      <c r="V13" s="160">
        <v>0.929564</v>
      </c>
      <c r="W13" s="160">
        <f>V13/V15*100</f>
        <v>2.4585680460580415</v>
      </c>
    </row>
    <row r="14" spans="1:23" ht="15.75">
      <c r="A14" s="195">
        <v>6</v>
      </c>
      <c r="B14" s="196" t="s">
        <v>67</v>
      </c>
      <c r="C14" s="192"/>
      <c r="D14" s="184"/>
      <c r="E14" s="181">
        <f>'Anne-6'!N38/1000000</f>
        <v>116.399865</v>
      </c>
      <c r="F14" s="181">
        <f t="shared" si="4"/>
        <v>116.399865</v>
      </c>
      <c r="G14" s="193">
        <f t="shared" si="0"/>
        <v>116.399865</v>
      </c>
      <c r="H14" s="202"/>
      <c r="I14" s="150"/>
      <c r="J14" s="149">
        <f t="shared" si="1"/>
        <v>16.82454229357769</v>
      </c>
      <c r="K14" s="150">
        <f t="shared" si="2"/>
        <v>13.491790993703507</v>
      </c>
      <c r="L14" s="200">
        <f t="shared" si="3"/>
        <v>13.030831651780364</v>
      </c>
      <c r="N14" s="74"/>
      <c r="O14" s="180"/>
      <c r="P14" s="180"/>
      <c r="Q14" s="74"/>
      <c r="V14" s="160">
        <v>0.284617</v>
      </c>
      <c r="W14" s="160">
        <f>V14/V15*100</f>
        <v>0.7527725488131013</v>
      </c>
    </row>
    <row r="15" spans="1:23" ht="15">
      <c r="A15" s="195">
        <v>7</v>
      </c>
      <c r="B15" s="196" t="s">
        <v>68</v>
      </c>
      <c r="C15" s="192"/>
      <c r="D15" s="184"/>
      <c r="E15" s="181">
        <f>'Anne-6'!K38/1000000</f>
        <v>61.571291</v>
      </c>
      <c r="F15" s="181">
        <f t="shared" si="4"/>
        <v>61.571291</v>
      </c>
      <c r="G15" s="193">
        <f t="shared" si="0"/>
        <v>61.571291</v>
      </c>
      <c r="H15" s="202"/>
      <c r="I15" s="150"/>
      <c r="J15" s="150">
        <f t="shared" si="1"/>
        <v>8.899570368914768</v>
      </c>
      <c r="K15" s="150">
        <f t="shared" si="2"/>
        <v>7.136666261464287</v>
      </c>
      <c r="L15" s="200">
        <f t="shared" si="3"/>
        <v>6.892835551001536</v>
      </c>
      <c r="N15" s="74"/>
      <c r="O15" s="180"/>
      <c r="P15" s="180"/>
      <c r="Q15" s="74"/>
      <c r="V15" s="160">
        <f>SUM(V9:V14)</f>
        <v>37.809163</v>
      </c>
      <c r="W15" s="160">
        <f>V15/V15*100</f>
        <v>100</v>
      </c>
    </row>
    <row r="16" spans="1:17" s="261" customFormat="1" ht="15">
      <c r="A16" s="253">
        <v>8</v>
      </c>
      <c r="B16" s="254" t="s">
        <v>2</v>
      </c>
      <c r="C16" s="255">
        <f>'Anne-8'!E38/1000000</f>
        <v>3.455503</v>
      </c>
      <c r="D16" s="256">
        <f>'Anne-7'!G38/1000000</f>
        <v>0.182739</v>
      </c>
      <c r="E16" s="256">
        <f>'Anne-6'!E38/1000000</f>
        <v>5.119179</v>
      </c>
      <c r="F16" s="256">
        <f t="shared" si="4"/>
        <v>5.301918</v>
      </c>
      <c r="G16" s="257">
        <f t="shared" si="0"/>
        <v>8.757421</v>
      </c>
      <c r="H16" s="258">
        <f>C16/C22*100</f>
        <v>11.322384930280808</v>
      </c>
      <c r="I16" s="259">
        <f>D16/$D$22*100</f>
        <v>0.10692733032814827</v>
      </c>
      <c r="J16" s="259">
        <f t="shared" si="1"/>
        <v>0.7399307859497494</v>
      </c>
      <c r="K16" s="259">
        <f t="shared" si="2"/>
        <v>0.6145399697994022</v>
      </c>
      <c r="L16" s="260">
        <f t="shared" si="3"/>
        <v>0.9803832569287435</v>
      </c>
      <c r="N16" s="262"/>
      <c r="O16" s="263"/>
      <c r="P16" s="263"/>
      <c r="Q16" s="262"/>
    </row>
    <row r="17" spans="1:17" ht="15">
      <c r="A17" s="195">
        <v>9</v>
      </c>
      <c r="B17" s="196" t="s">
        <v>188</v>
      </c>
      <c r="C17" s="192"/>
      <c r="D17" s="184"/>
      <c r="E17" s="181">
        <f>'Anne-6'!X38/1000000</f>
        <v>3.028539</v>
      </c>
      <c r="F17" s="181">
        <f t="shared" si="4"/>
        <v>3.028539</v>
      </c>
      <c r="G17" s="193">
        <f t="shared" si="0"/>
        <v>3.028539</v>
      </c>
      <c r="H17" s="202"/>
      <c r="I17" s="150"/>
      <c r="J17" s="150">
        <f t="shared" si="1"/>
        <v>0.437747779975943</v>
      </c>
      <c r="K17" s="150">
        <f t="shared" si="2"/>
        <v>0.351034902010237</v>
      </c>
      <c r="L17" s="200">
        <f t="shared" si="3"/>
        <v>0.33904147448840466</v>
      </c>
      <c r="N17" s="74"/>
      <c r="P17" s="180"/>
      <c r="Q17" s="74"/>
    </row>
    <row r="18" spans="1:22" ht="15">
      <c r="A18" s="195">
        <v>10</v>
      </c>
      <c r="B18" s="196" t="s">
        <v>191</v>
      </c>
      <c r="C18" s="192">
        <f>'Anne-8'!K38/1000000</f>
        <v>0.184716</v>
      </c>
      <c r="D18" s="181">
        <f>'Anne-7'!K38/1000000</f>
        <v>1.589812</v>
      </c>
      <c r="E18" s="185"/>
      <c r="F18" s="181">
        <f t="shared" si="4"/>
        <v>1.589812</v>
      </c>
      <c r="G18" s="193">
        <f t="shared" si="0"/>
        <v>1.774528</v>
      </c>
      <c r="H18" s="202">
        <f>C18/C22*100</f>
        <v>0.6052449252053174</v>
      </c>
      <c r="I18" s="150">
        <f>D18/$D$22*100</f>
        <v>0.9302576509866753</v>
      </c>
      <c r="J18" s="150"/>
      <c r="K18" s="150">
        <f t="shared" si="2"/>
        <v>0.18427350601550746</v>
      </c>
      <c r="L18" s="200">
        <f t="shared" si="3"/>
        <v>0.19865637841908584</v>
      </c>
      <c r="N18" s="74"/>
      <c r="P18" s="180"/>
      <c r="Q18" s="74"/>
      <c r="V18" s="26">
        <v>162044</v>
      </c>
    </row>
    <row r="19" spans="1:22" ht="15">
      <c r="A19" s="195">
        <v>11</v>
      </c>
      <c r="B19" s="196" t="s">
        <v>190</v>
      </c>
      <c r="C19" s="192">
        <f>'Anne-8'!L38/1000000</f>
        <v>0.05057</v>
      </c>
      <c r="D19" s="181">
        <f>'Anne-7'!L38/1000000</f>
        <v>14.35345</v>
      </c>
      <c r="E19" s="185"/>
      <c r="F19" s="181">
        <f t="shared" si="4"/>
        <v>14.35345</v>
      </c>
      <c r="G19" s="193">
        <f t="shared" si="0"/>
        <v>14.404020000000001</v>
      </c>
      <c r="H19" s="202">
        <f>C19/C22*100</f>
        <v>0.1656988883888396</v>
      </c>
      <c r="I19" s="150">
        <f>D19/$D$22*100</f>
        <v>8.398733108414515</v>
      </c>
      <c r="J19" s="150"/>
      <c r="K19" s="150">
        <f t="shared" si="2"/>
        <v>1.6636939178458117</v>
      </c>
      <c r="L19" s="200">
        <f t="shared" si="3"/>
        <v>1.6125135517028082</v>
      </c>
      <c r="N19" s="74"/>
      <c r="P19" s="180"/>
      <c r="Q19" s="74"/>
      <c r="V19" s="26">
        <v>122573</v>
      </c>
    </row>
    <row r="20" spans="1:17" ht="15">
      <c r="A20" s="195">
        <v>12</v>
      </c>
      <c r="B20" s="196" t="s">
        <v>134</v>
      </c>
      <c r="C20" s="192"/>
      <c r="D20" s="184"/>
      <c r="E20" s="181">
        <f>'Anne-6'!V38/1000000</f>
        <v>40.119472</v>
      </c>
      <c r="F20" s="181">
        <f t="shared" si="4"/>
        <v>40.119472</v>
      </c>
      <c r="G20" s="193">
        <f t="shared" si="0"/>
        <v>40.119472</v>
      </c>
      <c r="H20" s="202"/>
      <c r="I20" s="150"/>
      <c r="J20" s="150">
        <f>E20/$E$22*100</f>
        <v>5.798904951135516</v>
      </c>
      <c r="K20" s="150">
        <f t="shared" si="2"/>
        <v>4.650207549654288</v>
      </c>
      <c r="L20" s="200">
        <f t="shared" si="3"/>
        <v>4.491328968382533</v>
      </c>
      <c r="N20" s="74"/>
      <c r="P20" s="180"/>
      <c r="Q20" s="74"/>
    </row>
    <row r="21" spans="1:17" ht="15">
      <c r="A21" s="209">
        <v>13</v>
      </c>
      <c r="B21" s="210" t="s">
        <v>144</v>
      </c>
      <c r="C21" s="211"/>
      <c r="D21" s="215"/>
      <c r="E21" s="216">
        <f>'Anne-6'!W38/1000000</f>
        <v>2.257054</v>
      </c>
      <c r="F21" s="181">
        <f t="shared" si="4"/>
        <v>2.257054</v>
      </c>
      <c r="G21" s="193">
        <f t="shared" si="0"/>
        <v>2.257054</v>
      </c>
      <c r="H21" s="212"/>
      <c r="I21" s="213"/>
      <c r="J21" s="150">
        <f>E21/$E$22*100</f>
        <v>0.32623663680270326</v>
      </c>
      <c r="K21" s="150">
        <f t="shared" si="2"/>
        <v>0.2616128534986056</v>
      </c>
      <c r="L21" s="200">
        <f t="shared" si="3"/>
        <v>0.2526746118045539</v>
      </c>
      <c r="N21" s="74"/>
      <c r="P21" s="180"/>
      <c r="Q21" s="74"/>
    </row>
    <row r="22" spans="1:16" ht="16.5" thickBot="1">
      <c r="A22" s="197"/>
      <c r="B22" s="198" t="s">
        <v>47</v>
      </c>
      <c r="C22" s="194">
        <f>SUM(C9:C21)</f>
        <v>30.519215000000003</v>
      </c>
      <c r="D22" s="194">
        <f>SUM(D9:D21)</f>
        <v>170.90018</v>
      </c>
      <c r="E22" s="194">
        <f>SUM(E9:E21)</f>
        <v>691.8456560000001</v>
      </c>
      <c r="F22" s="194">
        <f>SUM(F9:F21)</f>
        <v>862.7458359999999</v>
      </c>
      <c r="G22" s="194">
        <f>SUM(G9:G21)</f>
        <v>893.265051</v>
      </c>
      <c r="H22" s="203">
        <f>C22/C22*100</f>
        <v>100</v>
      </c>
      <c r="I22" s="204">
        <f>D22/$D$22*100</f>
        <v>100</v>
      </c>
      <c r="J22" s="204">
        <f>E22/$E$22*100</f>
        <v>100</v>
      </c>
      <c r="K22" s="204">
        <f t="shared" si="2"/>
        <v>100</v>
      </c>
      <c r="L22" s="205">
        <f t="shared" si="3"/>
        <v>100</v>
      </c>
      <c r="N22" s="74"/>
      <c r="P22" s="180"/>
    </row>
    <row r="23" spans="1:14" ht="22.5" customHeight="1">
      <c r="A23" s="187" t="s">
        <v>135</v>
      </c>
      <c r="B23" s="188"/>
      <c r="C23" s="189">
        <f>'Anne-8'!O35/1000000</f>
        <v>24.573939</v>
      </c>
      <c r="D23" s="189">
        <f>'Anne-7'!N35/1000000</f>
        <v>148.724529</v>
      </c>
      <c r="E23" s="189">
        <f>'Anne-6'!Z35/1000000</f>
        <v>642.669024</v>
      </c>
      <c r="F23" s="189">
        <f>E23+D23</f>
        <v>791.393553</v>
      </c>
      <c r="G23" s="189">
        <f>F23+C23</f>
        <v>815.967492</v>
      </c>
      <c r="H23" s="176"/>
      <c r="I23" s="176"/>
      <c r="J23" s="176"/>
      <c r="K23" s="176"/>
      <c r="L23" s="176"/>
      <c r="N23" s="74">
        <f>G22*1000000</f>
        <v>893265051</v>
      </c>
    </row>
    <row r="24" ht="15.75" customHeight="1">
      <c r="L24" s="161"/>
    </row>
    <row r="25" spans="1:10" ht="31.5" customHeight="1">
      <c r="A25" s="474" t="s">
        <v>137</v>
      </c>
      <c r="B25" s="475"/>
      <c r="C25" s="179">
        <f>C9/C22*100</f>
        <v>68.02143174390297</v>
      </c>
      <c r="D25" s="179">
        <f>D9/D22*100</f>
        <v>1.626540124182432</v>
      </c>
      <c r="E25" s="179">
        <f>E9/E22*100</f>
        <v>14.087120755152938</v>
      </c>
      <c r="F25" s="179">
        <f>F9/F22*100</f>
        <v>11.618820841228612</v>
      </c>
      <c r="G25" s="179">
        <f>G9/G22*100</f>
        <v>13.545867473997927</v>
      </c>
      <c r="H25" s="102"/>
      <c r="I25" s="102"/>
      <c r="J25" s="102"/>
    </row>
    <row r="26" spans="1:7" ht="33.75" customHeight="1">
      <c r="A26" s="476" t="s">
        <v>136</v>
      </c>
      <c r="B26" s="477"/>
      <c r="C26" s="179">
        <f>C9/C23*100</f>
        <v>84.47814166056162</v>
      </c>
      <c r="D26" s="179">
        <f>D9/D23*100</f>
        <v>1.8690662654577983</v>
      </c>
      <c r="E26" s="179">
        <f>E9/E23*100</f>
        <v>15.16505842982717</v>
      </c>
      <c r="F26" s="179">
        <f>F9/F23*100</f>
        <v>12.66637725566612</v>
      </c>
      <c r="G26" s="179">
        <f>G9/G23*100</f>
        <v>14.829083411572972</v>
      </c>
    </row>
    <row r="27" spans="10:12" ht="15">
      <c r="J27" s="208"/>
      <c r="K27" s="161"/>
      <c r="L27" s="161"/>
    </row>
    <row r="28" spans="8:12" ht="15">
      <c r="H28" s="161"/>
      <c r="I28" s="161"/>
      <c r="J28" s="161"/>
      <c r="K28" s="161"/>
      <c r="L28" s="161"/>
    </row>
    <row r="30" spans="3:12" ht="15">
      <c r="C30" s="208"/>
      <c r="D30" s="74"/>
      <c r="E30" s="74"/>
      <c r="F30" s="208"/>
      <c r="G30" s="208"/>
      <c r="K30" s="161">
        <f>K17+K18+K19+K20+K21</f>
        <v>7.1108227290244495</v>
      </c>
      <c r="L30" s="161">
        <f>L17+L18+L19+L20+L21</f>
        <v>6.894214984797385</v>
      </c>
    </row>
    <row r="31" spans="3:12" ht="15">
      <c r="C31" s="161">
        <f>C17+C18+C19+C20+C21</f>
        <v>0.235286</v>
      </c>
      <c r="D31" s="161">
        <f aca="true" t="shared" si="5" ref="D31:L31">D17+D18+D19+D20+D21</f>
        <v>15.943262</v>
      </c>
      <c r="E31" s="161">
        <f t="shared" si="5"/>
        <v>45.40506500000001</v>
      </c>
      <c r="F31" s="161">
        <f t="shared" si="5"/>
        <v>61.348327</v>
      </c>
      <c r="G31" s="161">
        <f t="shared" si="5"/>
        <v>61.583613</v>
      </c>
      <c r="H31" s="161">
        <f t="shared" si="5"/>
        <v>0.770943813594157</v>
      </c>
      <c r="I31" s="161">
        <f t="shared" si="5"/>
        <v>9.32899075940119</v>
      </c>
      <c r="J31" s="161">
        <f t="shared" si="5"/>
        <v>6.562889367914163</v>
      </c>
      <c r="K31" s="161">
        <f t="shared" si="5"/>
        <v>7.1108227290244495</v>
      </c>
      <c r="L31" s="161">
        <f t="shared" si="5"/>
        <v>6.894214984797385</v>
      </c>
    </row>
    <row r="33" spans="13:16" ht="15">
      <c r="M33" s="180">
        <v>247.24806999999998</v>
      </c>
      <c r="N33" s="180">
        <v>52.985749999999996</v>
      </c>
      <c r="O33" s="180">
        <v>884.2925</v>
      </c>
      <c r="P33" s="180">
        <f>SUM(M33:O33)</f>
        <v>1184.52632</v>
      </c>
    </row>
    <row r="34" spans="3:5" ht="15">
      <c r="C34" s="26">
        <f>C9*10</f>
        <v>207.59607</v>
      </c>
      <c r="D34" s="26">
        <f>D9*10</f>
        <v>27.7976</v>
      </c>
      <c r="E34" s="26">
        <f>E9*10</f>
        <v>974.6113300000001</v>
      </c>
    </row>
    <row r="35" ht="15">
      <c r="G35" s="214"/>
    </row>
  </sheetData>
  <sheetProtection/>
  <mergeCells count="12">
    <mergeCell ref="H7:H8"/>
    <mergeCell ref="H6:L6"/>
    <mergeCell ref="I7:K7"/>
    <mergeCell ref="L7:L8"/>
    <mergeCell ref="D7:F7"/>
    <mergeCell ref="C7:C8"/>
    <mergeCell ref="A25:B25"/>
    <mergeCell ref="A26:B26"/>
    <mergeCell ref="B6:B8"/>
    <mergeCell ref="A6:A8"/>
    <mergeCell ref="C6:G6"/>
    <mergeCell ref="G7:G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0"/>
  <sheetViews>
    <sheetView zoomScalePageLayoutView="0" workbookViewId="0" topLeftCell="A1">
      <selection activeCell="AI17" sqref="AI17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7" width="11.7109375" style="0" hidden="1" customWidth="1"/>
    <col min="8" max="8" width="10.7109375" style="0" hidden="1" customWidth="1"/>
    <col min="9" max="9" width="11.7109375" style="0" hidden="1" customWidth="1"/>
    <col min="10" max="10" width="13.421875" style="0" hidden="1" customWidth="1"/>
    <col min="11" max="11" width="11.7109375" style="0" hidden="1" customWidth="1"/>
    <col min="12" max="12" width="13.421875" style="0" hidden="1" customWidth="1"/>
    <col min="13" max="13" width="11.7109375" style="0" hidden="1" customWidth="1"/>
    <col min="14" max="14" width="9.140625" style="0" hidden="1" customWidth="1"/>
    <col min="15" max="16" width="10.7109375" style="0" hidden="1" customWidth="1"/>
    <col min="17" max="17" width="12.421875" style="0" hidden="1" customWidth="1"/>
    <col min="18" max="19" width="10.7109375" style="0" hidden="1" customWidth="1"/>
    <col min="20" max="20" width="11.7109375" style="0" hidden="1" customWidth="1"/>
    <col min="21" max="21" width="10.7109375" style="0" hidden="1" customWidth="1"/>
    <col min="22" max="22" width="11.421875" style="0" hidden="1" customWidth="1"/>
    <col min="23" max="23" width="9.7109375" style="0" customWidth="1"/>
    <col min="24" max="24" width="11.00390625" style="0" customWidth="1"/>
    <col min="25" max="25" width="10.8515625" style="0" customWidth="1"/>
    <col min="26" max="27" width="11.421875" style="0" customWidth="1"/>
    <col min="28" max="28" width="9.57421875" style="0" customWidth="1"/>
    <col min="29" max="29" width="9.7109375" style="0" customWidth="1"/>
    <col min="30" max="30" width="9.421875" style="0" customWidth="1"/>
    <col min="31" max="31" width="9.28125" style="0" customWidth="1"/>
    <col min="32" max="32" width="10.140625" style="0" bestFit="1" customWidth="1"/>
    <col min="33" max="33" width="8.00390625" style="0" customWidth="1"/>
    <col min="34" max="34" width="7.140625" style="0" customWidth="1"/>
    <col min="35" max="35" width="7.8515625" style="0" customWidth="1"/>
    <col min="36" max="36" width="6.140625" style="0" customWidth="1"/>
    <col min="37" max="37" width="6.28125" style="0" customWidth="1"/>
    <col min="41" max="41" width="9.7109375" style="0" bestFit="1" customWidth="1"/>
    <col min="42" max="43" width="9.28125" style="0" bestFit="1" customWidth="1"/>
  </cols>
  <sheetData>
    <row r="1" spans="1:35" ht="15">
      <c r="A1" s="186" t="s">
        <v>236</v>
      </c>
      <c r="AI1" s="76" t="s">
        <v>115</v>
      </c>
    </row>
    <row r="2" ht="13.5" thickBot="1">
      <c r="A2" s="186"/>
    </row>
    <row r="3" spans="1:37" ht="12.75" customHeight="1" thickBot="1">
      <c r="A3" s="497" t="s">
        <v>19</v>
      </c>
      <c r="B3" s="500" t="s">
        <v>20</v>
      </c>
      <c r="C3" s="503" t="s">
        <v>147</v>
      </c>
      <c r="D3" s="504"/>
      <c r="E3" s="504"/>
      <c r="F3" s="504"/>
      <c r="G3" s="504"/>
      <c r="H3" s="504"/>
      <c r="I3" s="504"/>
      <c r="J3" s="504"/>
      <c r="K3" s="504"/>
      <c r="L3" s="504"/>
      <c r="M3" s="505" t="s">
        <v>148</v>
      </c>
      <c r="N3" s="504"/>
      <c r="O3" s="504"/>
      <c r="P3" s="504"/>
      <c r="Q3" s="504"/>
      <c r="R3" s="504"/>
      <c r="S3" s="504"/>
      <c r="T3" s="504"/>
      <c r="U3" s="504"/>
      <c r="V3" s="506"/>
      <c r="W3" s="508" t="s">
        <v>237</v>
      </c>
      <c r="X3" s="509"/>
      <c r="Y3" s="509"/>
      <c r="Z3" s="509"/>
      <c r="AA3" s="509"/>
      <c r="AB3" s="509"/>
      <c r="AC3" s="509"/>
      <c r="AD3" s="509"/>
      <c r="AE3" s="509"/>
      <c r="AF3" s="510"/>
      <c r="AG3" s="511" t="s">
        <v>153</v>
      </c>
      <c r="AH3" s="512"/>
      <c r="AI3" s="512"/>
      <c r="AJ3" s="512"/>
      <c r="AK3" s="513"/>
    </row>
    <row r="4" spans="1:37" ht="12.75" customHeight="1">
      <c r="A4" s="498"/>
      <c r="B4" s="501"/>
      <c r="C4" s="517" t="s">
        <v>184</v>
      </c>
      <c r="D4" s="518"/>
      <c r="E4" s="518"/>
      <c r="F4" s="518"/>
      <c r="G4" s="519"/>
      <c r="H4" s="520" t="s">
        <v>185</v>
      </c>
      <c r="I4" s="518"/>
      <c r="J4" s="518"/>
      <c r="K4" s="518"/>
      <c r="L4" s="519"/>
      <c r="M4" s="520" t="s">
        <v>184</v>
      </c>
      <c r="N4" s="518"/>
      <c r="O4" s="518"/>
      <c r="P4" s="518"/>
      <c r="Q4" s="519"/>
      <c r="R4" s="520" t="s">
        <v>179</v>
      </c>
      <c r="S4" s="518"/>
      <c r="T4" s="518"/>
      <c r="U4" s="518"/>
      <c r="V4" s="521"/>
      <c r="W4" s="522" t="s">
        <v>150</v>
      </c>
      <c r="X4" s="523"/>
      <c r="Y4" s="523"/>
      <c r="Z4" s="523"/>
      <c r="AA4" s="523"/>
      <c r="AB4" s="523" t="s">
        <v>151</v>
      </c>
      <c r="AC4" s="523"/>
      <c r="AD4" s="523"/>
      <c r="AE4" s="523"/>
      <c r="AF4" s="524"/>
      <c r="AG4" s="514"/>
      <c r="AH4" s="515"/>
      <c r="AI4" s="515"/>
      <c r="AJ4" s="515"/>
      <c r="AK4" s="516"/>
    </row>
    <row r="5" spans="1:37" ht="12.75" customHeight="1">
      <c r="A5" s="498"/>
      <c r="B5" s="501"/>
      <c r="C5" s="507" t="s">
        <v>152</v>
      </c>
      <c r="D5" s="490" t="s">
        <v>139</v>
      </c>
      <c r="E5" s="490"/>
      <c r="F5" s="490"/>
      <c r="G5" s="488" t="s">
        <v>47</v>
      </c>
      <c r="H5" s="495" t="s">
        <v>152</v>
      </c>
      <c r="I5" s="490" t="s">
        <v>139</v>
      </c>
      <c r="J5" s="490"/>
      <c r="K5" s="490"/>
      <c r="L5" s="488" t="s">
        <v>47</v>
      </c>
      <c r="M5" s="495" t="s">
        <v>152</v>
      </c>
      <c r="N5" s="490" t="s">
        <v>139</v>
      </c>
      <c r="O5" s="490"/>
      <c r="P5" s="490"/>
      <c r="Q5" s="488" t="s">
        <v>47</v>
      </c>
      <c r="R5" s="495" t="s">
        <v>152</v>
      </c>
      <c r="S5" s="490" t="s">
        <v>139</v>
      </c>
      <c r="T5" s="490"/>
      <c r="U5" s="490"/>
      <c r="V5" s="496" t="s">
        <v>47</v>
      </c>
      <c r="W5" s="493" t="s">
        <v>176</v>
      </c>
      <c r="X5" s="490" t="s">
        <v>139</v>
      </c>
      <c r="Y5" s="490"/>
      <c r="Z5" s="490"/>
      <c r="AA5" s="490" t="s">
        <v>47</v>
      </c>
      <c r="AB5" s="492" t="s">
        <v>176</v>
      </c>
      <c r="AC5" s="490" t="s">
        <v>139</v>
      </c>
      <c r="AD5" s="490"/>
      <c r="AE5" s="490"/>
      <c r="AF5" s="488" t="s">
        <v>47</v>
      </c>
      <c r="AG5" s="493" t="s">
        <v>176</v>
      </c>
      <c r="AH5" s="490" t="s">
        <v>139</v>
      </c>
      <c r="AI5" s="490"/>
      <c r="AJ5" s="490"/>
      <c r="AK5" s="488" t="s">
        <v>47</v>
      </c>
    </row>
    <row r="6" spans="1:37" ht="12.75" customHeight="1" thickBot="1">
      <c r="A6" s="499"/>
      <c r="B6" s="502"/>
      <c r="C6" s="507"/>
      <c r="D6" s="95" t="s">
        <v>131</v>
      </c>
      <c r="E6" s="95" t="s">
        <v>138</v>
      </c>
      <c r="F6" s="95" t="s">
        <v>47</v>
      </c>
      <c r="G6" s="488"/>
      <c r="H6" s="495"/>
      <c r="I6" s="95" t="s">
        <v>131</v>
      </c>
      <c r="J6" s="95" t="s">
        <v>138</v>
      </c>
      <c r="K6" s="95" t="s">
        <v>47</v>
      </c>
      <c r="L6" s="488"/>
      <c r="M6" s="495"/>
      <c r="N6" s="95" t="s">
        <v>131</v>
      </c>
      <c r="O6" s="95" t="s">
        <v>138</v>
      </c>
      <c r="P6" s="95" t="s">
        <v>47</v>
      </c>
      <c r="Q6" s="488"/>
      <c r="R6" s="495"/>
      <c r="S6" s="95" t="s">
        <v>131</v>
      </c>
      <c r="T6" s="95" t="s">
        <v>138</v>
      </c>
      <c r="U6" s="95" t="s">
        <v>47</v>
      </c>
      <c r="V6" s="496"/>
      <c r="W6" s="494"/>
      <c r="X6" s="241" t="s">
        <v>131</v>
      </c>
      <c r="Y6" s="241" t="s">
        <v>138</v>
      </c>
      <c r="Z6" s="241" t="s">
        <v>47</v>
      </c>
      <c r="AA6" s="491"/>
      <c r="AB6" s="491"/>
      <c r="AC6" s="241" t="s">
        <v>131</v>
      </c>
      <c r="AD6" s="241" t="s">
        <v>138</v>
      </c>
      <c r="AE6" s="241" t="s">
        <v>47</v>
      </c>
      <c r="AF6" s="489"/>
      <c r="AG6" s="494"/>
      <c r="AH6" s="241" t="s">
        <v>131</v>
      </c>
      <c r="AI6" s="241" t="s">
        <v>138</v>
      </c>
      <c r="AJ6" s="241" t="s">
        <v>47</v>
      </c>
      <c r="AK6" s="489"/>
    </row>
    <row r="7" spans="1:37" ht="18" customHeight="1">
      <c r="A7" s="250">
        <v>1</v>
      </c>
      <c r="B7" s="251" t="s">
        <v>21</v>
      </c>
      <c r="C7" s="225"/>
      <c r="D7" s="106"/>
      <c r="E7" s="218"/>
      <c r="F7" s="218"/>
      <c r="G7" s="230"/>
      <c r="H7" s="229"/>
      <c r="I7" s="106"/>
      <c r="J7" s="106"/>
      <c r="K7" s="106"/>
      <c r="L7" s="230"/>
      <c r="M7" s="229"/>
      <c r="N7" s="106"/>
      <c r="O7" s="95"/>
      <c r="P7" s="95"/>
      <c r="Q7" s="238"/>
      <c r="R7" s="240"/>
      <c r="S7" s="95"/>
      <c r="T7" s="95"/>
      <c r="U7" s="95"/>
      <c r="V7" s="238"/>
      <c r="W7" s="242"/>
      <c r="X7" s="226"/>
      <c r="Y7" s="226"/>
      <c r="Z7" s="226"/>
      <c r="AA7" s="227"/>
      <c r="AB7" s="242"/>
      <c r="AC7" s="226"/>
      <c r="AD7" s="226"/>
      <c r="AE7" s="226"/>
      <c r="AF7" s="227"/>
      <c r="AG7" s="242"/>
      <c r="AH7" s="226"/>
      <c r="AI7" s="226"/>
      <c r="AJ7" s="226"/>
      <c r="AK7" s="227"/>
    </row>
    <row r="8" spans="1:43" ht="18" customHeight="1">
      <c r="A8" s="246">
        <v>2</v>
      </c>
      <c r="B8" s="247" t="s">
        <v>22</v>
      </c>
      <c r="C8" s="220">
        <v>2360213</v>
      </c>
      <c r="D8" s="219">
        <v>18041256</v>
      </c>
      <c r="E8" s="220">
        <v>48804853</v>
      </c>
      <c r="F8" s="219">
        <v>66846109</v>
      </c>
      <c r="G8" s="232">
        <v>69206322</v>
      </c>
      <c r="H8" s="231">
        <f>'Anne-8'!O10</f>
        <v>2258441</v>
      </c>
      <c r="I8" s="219">
        <f>'Anne-7'!N10</f>
        <v>14187185</v>
      </c>
      <c r="J8" s="219">
        <f>'Anne-6'!Z10</f>
        <v>49587631</v>
      </c>
      <c r="K8" s="219">
        <f>SUM(I8:J8)</f>
        <v>63774816</v>
      </c>
      <c r="L8" s="232">
        <f>K8+H8</f>
        <v>66033257</v>
      </c>
      <c r="M8" s="231">
        <v>1970060</v>
      </c>
      <c r="N8" s="219">
        <v>215963</v>
      </c>
      <c r="O8" s="221">
        <v>8804278</v>
      </c>
      <c r="P8" s="219">
        <v>9020241</v>
      </c>
      <c r="Q8" s="232">
        <v>10990301</v>
      </c>
      <c r="R8" s="231">
        <f>'Anne-8'!D10</f>
        <v>1868092</v>
      </c>
      <c r="S8" s="219">
        <f>'Anne-7'!F10</f>
        <v>110582</v>
      </c>
      <c r="T8" s="219">
        <f>'Anne-6'!D10</f>
        <v>9146704</v>
      </c>
      <c r="U8" s="219">
        <f>SUM(S8:T8)</f>
        <v>9257286</v>
      </c>
      <c r="V8" s="232">
        <f>U8+R8</f>
        <v>11125378</v>
      </c>
      <c r="W8" s="231">
        <f>H8-C8</f>
        <v>-101772</v>
      </c>
      <c r="X8" s="219">
        <f>I8-D8</f>
        <v>-3854071</v>
      </c>
      <c r="Y8" s="219">
        <f>J8-E8</f>
        <v>782778</v>
      </c>
      <c r="Z8" s="219">
        <f>SUM(X8:Y8)</f>
        <v>-3071293</v>
      </c>
      <c r="AA8" s="232">
        <f>Z8+W8</f>
        <v>-3173065</v>
      </c>
      <c r="AB8" s="231">
        <f>R8-M8</f>
        <v>-101968</v>
      </c>
      <c r="AC8" s="219">
        <f>S8-N8</f>
        <v>-105381</v>
      </c>
      <c r="AD8" s="219">
        <f>T8-O8</f>
        <v>342426</v>
      </c>
      <c r="AE8" s="219">
        <f>SUM(AC8:AD8)</f>
        <v>237045</v>
      </c>
      <c r="AF8" s="232">
        <f>AE8+AB8</f>
        <v>135077</v>
      </c>
      <c r="AG8" s="239">
        <f>-(AB8)/W8*100</f>
        <v>-100.19258735212043</v>
      </c>
      <c r="AH8" s="218">
        <f>AC8/X8*100</f>
        <v>2.734277598933699</v>
      </c>
      <c r="AI8" s="218">
        <f>AD8/Y8*100</f>
        <v>43.74496983819167</v>
      </c>
      <c r="AJ8" s="218">
        <f>AE8/Z8*100</f>
        <v>-7.718084858722368</v>
      </c>
      <c r="AK8" s="243">
        <f>AF8/AA8*100</f>
        <v>-4.25698811716747</v>
      </c>
      <c r="AO8">
        <v>85.46325335526555</v>
      </c>
      <c r="AP8">
        <v>9.973009042025277</v>
      </c>
      <c r="AQ8">
        <v>13.928465248806072</v>
      </c>
    </row>
    <row r="9" spans="1:43" ht="18" customHeight="1">
      <c r="A9" s="246">
        <v>3</v>
      </c>
      <c r="B9" s="247" t="s">
        <v>23</v>
      </c>
      <c r="C9" s="220">
        <v>229854</v>
      </c>
      <c r="D9" s="219">
        <v>233002</v>
      </c>
      <c r="E9" s="220">
        <v>13975073</v>
      </c>
      <c r="F9" s="219">
        <v>14208075</v>
      </c>
      <c r="G9" s="232">
        <v>14437929</v>
      </c>
      <c r="H9" s="231">
        <f>'Anne-8'!O11</f>
        <v>194025</v>
      </c>
      <c r="I9" s="219">
        <f>'Anne-7'!N11</f>
        <v>91312</v>
      </c>
      <c r="J9" s="219">
        <f>'Anne-6'!Z11</f>
        <v>14182699</v>
      </c>
      <c r="K9" s="219">
        <f aca="true" t="shared" si="0" ref="K9:K35">SUM(I9:J9)</f>
        <v>14274011</v>
      </c>
      <c r="L9" s="232">
        <f aca="true" t="shared" si="1" ref="L9:L35">K9+H9</f>
        <v>14468036</v>
      </c>
      <c r="M9" s="231">
        <v>227229</v>
      </c>
      <c r="N9" s="219">
        <v>103900</v>
      </c>
      <c r="O9" s="221">
        <v>1161479</v>
      </c>
      <c r="P9" s="219">
        <v>1265379</v>
      </c>
      <c r="Q9" s="232">
        <v>1492608</v>
      </c>
      <c r="R9" s="231">
        <f>'Anne-8'!D11</f>
        <v>193965</v>
      </c>
      <c r="S9" s="219">
        <f>'Anne-7'!F11</f>
        <v>90032</v>
      </c>
      <c r="T9" s="219">
        <f>'Anne-6'!D11</f>
        <v>1140886</v>
      </c>
      <c r="U9" s="219">
        <f aca="true" t="shared" si="2" ref="U9:U32">SUM(S9:T9)</f>
        <v>1230918</v>
      </c>
      <c r="V9" s="232">
        <f aca="true" t="shared" si="3" ref="V9:V32">U9+R9</f>
        <v>1424883</v>
      </c>
      <c r="W9" s="231">
        <f aca="true" t="shared" si="4" ref="W9:Y35">H9-C9</f>
        <v>-35829</v>
      </c>
      <c r="X9" s="219">
        <f t="shared" si="4"/>
        <v>-141690</v>
      </c>
      <c r="Y9" s="219">
        <f t="shared" si="4"/>
        <v>207626</v>
      </c>
      <c r="Z9" s="219">
        <f aca="true" t="shared" si="5" ref="Z9:Z32">SUM(X9:Y9)</f>
        <v>65936</v>
      </c>
      <c r="AA9" s="232">
        <f aca="true" t="shared" si="6" ref="AA9:AA32">Z9+W9</f>
        <v>30107</v>
      </c>
      <c r="AB9" s="231">
        <f aca="true" t="shared" si="7" ref="AB9:AD32">R9-M9</f>
        <v>-33264</v>
      </c>
      <c r="AC9" s="219">
        <f t="shared" si="7"/>
        <v>-13868</v>
      </c>
      <c r="AD9" s="219">
        <f t="shared" si="7"/>
        <v>-20593</v>
      </c>
      <c r="AE9" s="219">
        <f aca="true" t="shared" si="8" ref="AE9:AE32">SUM(AC9:AD9)</f>
        <v>-34461</v>
      </c>
      <c r="AF9" s="232">
        <f aca="true" t="shared" si="9" ref="AF9:AF32">AE9+AB9</f>
        <v>-67725</v>
      </c>
      <c r="AG9" s="239">
        <f aca="true" t="shared" si="10" ref="AG9:AG36">-(AB9)/W9*100</f>
        <v>-92.84099472494349</v>
      </c>
      <c r="AH9" s="218">
        <f aca="true" t="shared" si="11" ref="AH9:AK36">AC9/X9*100</f>
        <v>9.787564401157455</v>
      </c>
      <c r="AI9" s="218">
        <f t="shared" si="11"/>
        <v>-9.918314661940219</v>
      </c>
      <c r="AJ9" s="218">
        <f t="shared" si="11"/>
        <v>-52.26431691337054</v>
      </c>
      <c r="AK9" s="427" t="s">
        <v>130</v>
      </c>
      <c r="AO9">
        <v>99.88170322833729</v>
      </c>
      <c r="AP9">
        <v>13.373098009981026</v>
      </c>
      <c r="AQ9">
        <v>16.59996513359264</v>
      </c>
    </row>
    <row r="10" spans="1:43" ht="18" customHeight="1">
      <c r="A10" s="246">
        <v>4</v>
      </c>
      <c r="B10" s="247" t="s">
        <v>24</v>
      </c>
      <c r="C10" s="220">
        <v>610323</v>
      </c>
      <c r="D10" s="219">
        <v>10553322</v>
      </c>
      <c r="E10" s="220">
        <v>52951947</v>
      </c>
      <c r="F10" s="219">
        <v>63505269</v>
      </c>
      <c r="G10" s="232">
        <v>64115592</v>
      </c>
      <c r="H10" s="231">
        <f>'Anne-8'!O12</f>
        <v>392419</v>
      </c>
      <c r="I10" s="219">
        <f>'Anne-7'!N12</f>
        <v>8601331</v>
      </c>
      <c r="J10" s="219">
        <f>'Anne-6'!Z12</f>
        <v>51943357</v>
      </c>
      <c r="K10" s="219">
        <f t="shared" si="0"/>
        <v>60544688</v>
      </c>
      <c r="L10" s="232">
        <f t="shared" si="1"/>
        <v>60937107</v>
      </c>
      <c r="M10" s="231">
        <v>595139</v>
      </c>
      <c r="N10" s="219">
        <v>386867</v>
      </c>
      <c r="O10" s="221">
        <v>5747811</v>
      </c>
      <c r="P10" s="219">
        <v>6134678</v>
      </c>
      <c r="Q10" s="232">
        <v>6729817</v>
      </c>
      <c r="R10" s="231">
        <f>'Anne-8'!D12</f>
        <v>376232</v>
      </c>
      <c r="S10" s="219">
        <f>'Anne-7'!F12</f>
        <v>227781</v>
      </c>
      <c r="T10" s="219">
        <f>'Anne-6'!D12</f>
        <v>5747760</v>
      </c>
      <c r="U10" s="219">
        <f t="shared" si="2"/>
        <v>5975541</v>
      </c>
      <c r="V10" s="232">
        <f t="shared" si="3"/>
        <v>6351773</v>
      </c>
      <c r="W10" s="231">
        <f t="shared" si="4"/>
        <v>-217904</v>
      </c>
      <c r="X10" s="219">
        <f t="shared" si="4"/>
        <v>-1951991</v>
      </c>
      <c r="Y10" s="219">
        <f t="shared" si="4"/>
        <v>-1008590</v>
      </c>
      <c r="Z10" s="219">
        <f t="shared" si="5"/>
        <v>-2960581</v>
      </c>
      <c r="AA10" s="232">
        <f t="shared" si="6"/>
        <v>-3178485</v>
      </c>
      <c r="AB10" s="231">
        <f t="shared" si="7"/>
        <v>-218907</v>
      </c>
      <c r="AC10" s="219">
        <f t="shared" si="7"/>
        <v>-159086</v>
      </c>
      <c r="AD10" s="219">
        <f t="shared" si="7"/>
        <v>-51</v>
      </c>
      <c r="AE10" s="219">
        <f t="shared" si="8"/>
        <v>-159137</v>
      </c>
      <c r="AF10" s="232">
        <f t="shared" si="9"/>
        <v>-378044</v>
      </c>
      <c r="AG10" s="239">
        <f t="shared" si="10"/>
        <v>-100.46029444158894</v>
      </c>
      <c r="AH10" s="218">
        <f t="shared" si="11"/>
        <v>8.149935117528718</v>
      </c>
      <c r="AI10" s="218">
        <f t="shared" si="11"/>
        <v>0.005056564114258519</v>
      </c>
      <c r="AJ10" s="218">
        <f t="shared" si="11"/>
        <v>5.375194936399308</v>
      </c>
      <c r="AK10" s="243">
        <f t="shared" si="11"/>
        <v>11.893842506728834</v>
      </c>
      <c r="AO10">
        <v>99.32336053407091</v>
      </c>
      <c r="AP10">
        <v>13.252266124180826</v>
      </c>
      <c r="AQ10">
        <v>16.478579817494627</v>
      </c>
    </row>
    <row r="11" spans="1:43" ht="18" customHeight="1">
      <c r="A11" s="246">
        <v>5</v>
      </c>
      <c r="B11" s="247" t="s">
        <v>25</v>
      </c>
      <c r="C11" s="220">
        <v>0</v>
      </c>
      <c r="D11" s="219">
        <v>0</v>
      </c>
      <c r="E11" s="220">
        <v>0</v>
      </c>
      <c r="F11" s="219">
        <v>0</v>
      </c>
      <c r="G11" s="232">
        <v>0</v>
      </c>
      <c r="H11" s="231">
        <f>'Anne-8'!O13</f>
        <v>0</v>
      </c>
      <c r="I11" s="219">
        <f>'Anne-7'!N13</f>
        <v>0</v>
      </c>
      <c r="J11" s="219">
        <f>'Anne-6'!Z13</f>
        <v>0</v>
      </c>
      <c r="K11" s="219">
        <f t="shared" si="0"/>
        <v>0</v>
      </c>
      <c r="L11" s="232">
        <f t="shared" si="1"/>
        <v>0</v>
      </c>
      <c r="M11" s="231">
        <v>0</v>
      </c>
      <c r="N11" s="219">
        <v>0</v>
      </c>
      <c r="O11" s="221">
        <v>0</v>
      </c>
      <c r="P11" s="219">
        <v>0</v>
      </c>
      <c r="Q11" s="232">
        <v>0</v>
      </c>
      <c r="R11" s="231">
        <f>'Anne-8'!D13</f>
        <v>0</v>
      </c>
      <c r="S11" s="219">
        <f>'Anne-7'!F13</f>
        <v>0</v>
      </c>
      <c r="T11" s="219">
        <f>'Anne-6'!D13</f>
        <v>0</v>
      </c>
      <c r="U11" s="219">
        <f t="shared" si="2"/>
        <v>0</v>
      </c>
      <c r="V11" s="232">
        <f t="shared" si="3"/>
        <v>0</v>
      </c>
      <c r="W11" s="231">
        <f t="shared" si="4"/>
        <v>0</v>
      </c>
      <c r="X11" s="219">
        <f t="shared" si="4"/>
        <v>0</v>
      </c>
      <c r="Y11" s="219">
        <f t="shared" si="4"/>
        <v>0</v>
      </c>
      <c r="Z11" s="219">
        <f t="shared" si="5"/>
        <v>0</v>
      </c>
      <c r="AA11" s="232">
        <f t="shared" si="6"/>
        <v>0</v>
      </c>
      <c r="AB11" s="231">
        <f t="shared" si="7"/>
        <v>0</v>
      </c>
      <c r="AC11" s="219">
        <f t="shared" si="7"/>
        <v>0</v>
      </c>
      <c r="AD11" s="219">
        <f t="shared" si="7"/>
        <v>0</v>
      </c>
      <c r="AE11" s="219">
        <f t="shared" si="8"/>
        <v>0</v>
      </c>
      <c r="AF11" s="232">
        <f t="shared" si="9"/>
        <v>0</v>
      </c>
      <c r="AG11" s="239"/>
      <c r="AH11" s="218"/>
      <c r="AI11" s="218"/>
      <c r="AJ11" s="218"/>
      <c r="AK11" s="243"/>
      <c r="AO11">
        <v>89.71517828931651</v>
      </c>
      <c r="AP11">
        <v>10.03163667197979</v>
      </c>
      <c r="AQ11">
        <v>15.029642198490874</v>
      </c>
    </row>
    <row r="12" spans="1:43" ht="18" customHeight="1">
      <c r="A12" s="246">
        <v>6</v>
      </c>
      <c r="B12" s="247" t="s">
        <v>26</v>
      </c>
      <c r="C12" s="220">
        <v>1830867</v>
      </c>
      <c r="D12" s="219">
        <v>12545126</v>
      </c>
      <c r="E12" s="220">
        <v>40792632</v>
      </c>
      <c r="F12" s="219">
        <v>53337758</v>
      </c>
      <c r="G12" s="232">
        <v>55168625</v>
      </c>
      <c r="H12" s="231">
        <f>'Anne-8'!O14</f>
        <v>1790303</v>
      </c>
      <c r="I12" s="219">
        <f>'Anne-7'!N14</f>
        <v>10033379</v>
      </c>
      <c r="J12" s="219">
        <f>'Anne-6'!Z14</f>
        <v>40720234</v>
      </c>
      <c r="K12" s="219">
        <f t="shared" si="0"/>
        <v>50753613</v>
      </c>
      <c r="L12" s="232">
        <f t="shared" si="1"/>
        <v>52543916</v>
      </c>
      <c r="M12" s="231">
        <v>1598630</v>
      </c>
      <c r="N12" s="219">
        <v>231887</v>
      </c>
      <c r="O12" s="221">
        <v>4000739</v>
      </c>
      <c r="P12" s="219">
        <v>4232626</v>
      </c>
      <c r="Q12" s="232">
        <v>5831256</v>
      </c>
      <c r="R12" s="231">
        <f>'Anne-8'!D14</f>
        <v>1564601</v>
      </c>
      <c r="S12" s="219">
        <f>'Anne-7'!F14</f>
        <v>129850</v>
      </c>
      <c r="T12" s="219">
        <f>'Anne-6'!D14</f>
        <v>4135177</v>
      </c>
      <c r="U12" s="219">
        <f t="shared" si="2"/>
        <v>4265027</v>
      </c>
      <c r="V12" s="232">
        <f t="shared" si="3"/>
        <v>5829628</v>
      </c>
      <c r="W12" s="231">
        <f t="shared" si="4"/>
        <v>-40564</v>
      </c>
      <c r="X12" s="219">
        <f t="shared" si="4"/>
        <v>-2511747</v>
      </c>
      <c r="Y12" s="219">
        <f t="shared" si="4"/>
        <v>-72398</v>
      </c>
      <c r="Z12" s="219">
        <f t="shared" si="5"/>
        <v>-2584145</v>
      </c>
      <c r="AA12" s="232">
        <f t="shared" si="6"/>
        <v>-2624709</v>
      </c>
      <c r="AB12" s="231">
        <f t="shared" si="7"/>
        <v>-34029</v>
      </c>
      <c r="AC12" s="219">
        <f t="shared" si="7"/>
        <v>-102037</v>
      </c>
      <c r="AD12" s="219">
        <f t="shared" si="7"/>
        <v>134438</v>
      </c>
      <c r="AE12" s="219">
        <f t="shared" si="8"/>
        <v>32401</v>
      </c>
      <c r="AF12" s="232">
        <f t="shared" si="9"/>
        <v>-1628</v>
      </c>
      <c r="AG12" s="239">
        <f t="shared" si="10"/>
        <v>-83.88965585248003</v>
      </c>
      <c r="AH12" s="218">
        <f t="shared" si="11"/>
        <v>4.062391634189271</v>
      </c>
      <c r="AI12" s="218">
        <f t="shared" si="11"/>
        <v>-185.69297494405924</v>
      </c>
      <c r="AJ12" s="218">
        <f t="shared" si="11"/>
        <v>-1.2538383101567443</v>
      </c>
      <c r="AK12" s="243">
        <f t="shared" si="11"/>
        <v>0.06202592363572495</v>
      </c>
      <c r="AO12">
        <v>95.69360232241944</v>
      </c>
      <c r="AP12">
        <v>17.919511565013803</v>
      </c>
      <c r="AQ12">
        <v>22.329111314874737</v>
      </c>
    </row>
    <row r="13" spans="1:43" ht="18" customHeight="1">
      <c r="A13" s="246">
        <v>7</v>
      </c>
      <c r="B13" s="247" t="s">
        <v>27</v>
      </c>
      <c r="C13" s="220">
        <v>591881</v>
      </c>
      <c r="D13" s="219">
        <v>7393674</v>
      </c>
      <c r="E13" s="220">
        <v>15172641</v>
      </c>
      <c r="F13" s="219">
        <v>22566315</v>
      </c>
      <c r="G13" s="232">
        <v>23158196</v>
      </c>
      <c r="H13" s="231">
        <f>'Anne-8'!O15</f>
        <v>566096</v>
      </c>
      <c r="I13" s="219">
        <f>'Anne-7'!N15</f>
        <v>4964177</v>
      </c>
      <c r="J13" s="219">
        <f>'Anne-6'!Z15</f>
        <v>14348017</v>
      </c>
      <c r="K13" s="219">
        <f t="shared" si="0"/>
        <v>19312194</v>
      </c>
      <c r="L13" s="232">
        <f t="shared" si="1"/>
        <v>19878290</v>
      </c>
      <c r="M13" s="231">
        <v>542975</v>
      </c>
      <c r="N13" s="219">
        <v>26031</v>
      </c>
      <c r="O13" s="221">
        <v>2972891</v>
      </c>
      <c r="P13" s="219">
        <v>2998922</v>
      </c>
      <c r="Q13" s="232">
        <v>3541897</v>
      </c>
      <c r="R13" s="231">
        <f>'Anne-8'!D15</f>
        <v>509455</v>
      </c>
      <c r="S13" s="219">
        <f>'Anne-7'!F15</f>
        <v>21210</v>
      </c>
      <c r="T13" s="219">
        <f>'Anne-6'!D15</f>
        <v>3031588</v>
      </c>
      <c r="U13" s="219">
        <f t="shared" si="2"/>
        <v>3052798</v>
      </c>
      <c r="V13" s="232">
        <f t="shared" si="3"/>
        <v>3562253</v>
      </c>
      <c r="W13" s="231">
        <f t="shared" si="4"/>
        <v>-25785</v>
      </c>
      <c r="X13" s="219">
        <f t="shared" si="4"/>
        <v>-2429497</v>
      </c>
      <c r="Y13" s="219">
        <f t="shared" si="4"/>
        <v>-824624</v>
      </c>
      <c r="Z13" s="219">
        <f t="shared" si="5"/>
        <v>-3254121</v>
      </c>
      <c r="AA13" s="232">
        <f t="shared" si="6"/>
        <v>-3279906</v>
      </c>
      <c r="AB13" s="231">
        <f t="shared" si="7"/>
        <v>-33520</v>
      </c>
      <c r="AC13" s="219">
        <f t="shared" si="7"/>
        <v>-4821</v>
      </c>
      <c r="AD13" s="219">
        <f t="shared" si="7"/>
        <v>58697</v>
      </c>
      <c r="AE13" s="219">
        <f t="shared" si="8"/>
        <v>53876</v>
      </c>
      <c r="AF13" s="232">
        <f t="shared" si="9"/>
        <v>20356</v>
      </c>
      <c r="AG13" s="239">
        <f>-(AB13)/W13*100</f>
        <v>-129.99806088811326</v>
      </c>
      <c r="AH13" s="218">
        <f t="shared" si="11"/>
        <v>0.19843613719218423</v>
      </c>
      <c r="AI13" s="218">
        <f t="shared" si="11"/>
        <v>-7.118031975785327</v>
      </c>
      <c r="AJ13" s="218">
        <f t="shared" si="11"/>
        <v>-1.6556237460131324</v>
      </c>
      <c r="AK13" s="427" t="s">
        <v>130</v>
      </c>
      <c r="AO13">
        <v>98.71633955502381</v>
      </c>
      <c r="AP13">
        <v>26.07561748257265</v>
      </c>
      <c r="AQ13">
        <v>31.097108389452327</v>
      </c>
    </row>
    <row r="14" spans="1:43" ht="18" customHeight="1">
      <c r="A14" s="246">
        <v>8</v>
      </c>
      <c r="B14" s="247" t="s">
        <v>28</v>
      </c>
      <c r="C14" s="220">
        <v>308298</v>
      </c>
      <c r="D14" s="219">
        <v>775634</v>
      </c>
      <c r="E14" s="220">
        <v>7195700</v>
      </c>
      <c r="F14" s="219">
        <v>7971334</v>
      </c>
      <c r="G14" s="232">
        <v>8279632</v>
      </c>
      <c r="H14" s="231">
        <f>'Anne-8'!O16</f>
        <v>290356</v>
      </c>
      <c r="I14" s="219">
        <f>'Anne-7'!N16</f>
        <v>249430</v>
      </c>
      <c r="J14" s="219">
        <f>'Anne-6'!Z16</f>
        <v>6548224</v>
      </c>
      <c r="K14" s="219">
        <f t="shared" si="0"/>
        <v>6797654</v>
      </c>
      <c r="L14" s="232">
        <f t="shared" si="1"/>
        <v>7088010</v>
      </c>
      <c r="M14" s="231">
        <v>301845</v>
      </c>
      <c r="N14" s="219">
        <v>67783</v>
      </c>
      <c r="O14" s="221">
        <v>1609793</v>
      </c>
      <c r="P14" s="219">
        <v>1677576</v>
      </c>
      <c r="Q14" s="232">
        <v>1979421</v>
      </c>
      <c r="R14" s="231">
        <f>'Anne-8'!D16</f>
        <v>283597</v>
      </c>
      <c r="S14" s="219">
        <f>'Anne-7'!F16</f>
        <v>59006</v>
      </c>
      <c r="T14" s="219">
        <f>'Anne-6'!D16</f>
        <v>1542042</v>
      </c>
      <c r="U14" s="219">
        <f t="shared" si="2"/>
        <v>1601048</v>
      </c>
      <c r="V14" s="232">
        <f t="shared" si="3"/>
        <v>1884645</v>
      </c>
      <c r="W14" s="231">
        <f t="shared" si="4"/>
        <v>-17942</v>
      </c>
      <c r="X14" s="219">
        <f t="shared" si="4"/>
        <v>-526204</v>
      </c>
      <c r="Y14" s="219">
        <f t="shared" si="4"/>
        <v>-647476</v>
      </c>
      <c r="Z14" s="219">
        <f t="shared" si="5"/>
        <v>-1173680</v>
      </c>
      <c r="AA14" s="232">
        <f t="shared" si="6"/>
        <v>-1191622</v>
      </c>
      <c r="AB14" s="231">
        <f t="shared" si="7"/>
        <v>-18248</v>
      </c>
      <c r="AC14" s="219">
        <f t="shared" si="7"/>
        <v>-8777</v>
      </c>
      <c r="AD14" s="219">
        <f t="shared" si="7"/>
        <v>-67751</v>
      </c>
      <c r="AE14" s="219">
        <f t="shared" si="8"/>
        <v>-76528</v>
      </c>
      <c r="AF14" s="232">
        <f t="shared" si="9"/>
        <v>-94776</v>
      </c>
      <c r="AG14" s="239">
        <f t="shared" si="10"/>
        <v>-101.70549548545313</v>
      </c>
      <c r="AH14" s="218">
        <f t="shared" si="11"/>
        <v>1.6679842798610425</v>
      </c>
      <c r="AI14" s="218">
        <f t="shared" si="11"/>
        <v>10.46386275321402</v>
      </c>
      <c r="AJ14" s="218">
        <f t="shared" si="11"/>
        <v>6.520346261331879</v>
      </c>
      <c r="AK14" s="243">
        <f t="shared" si="11"/>
        <v>7.9535288875163435</v>
      </c>
      <c r="AO14">
        <v>99.97493171052176</v>
      </c>
      <c r="AP14">
        <v>17.69181405203981</v>
      </c>
      <c r="AQ14">
        <v>20.995985393922048</v>
      </c>
    </row>
    <row r="15" spans="1:43" ht="18" customHeight="1">
      <c r="A15" s="246">
        <v>9</v>
      </c>
      <c r="B15" s="247" t="s">
        <v>29</v>
      </c>
      <c r="C15" s="220">
        <v>204312</v>
      </c>
      <c r="D15" s="219">
        <v>738785</v>
      </c>
      <c r="E15" s="220">
        <v>5568050</v>
      </c>
      <c r="F15" s="219">
        <v>6306835</v>
      </c>
      <c r="G15" s="232">
        <v>6511147</v>
      </c>
      <c r="H15" s="231">
        <f>'Anne-8'!O17</f>
        <v>197867</v>
      </c>
      <c r="I15" s="219">
        <f>'Anne-7'!N17</f>
        <v>676443</v>
      </c>
      <c r="J15" s="219">
        <f>'Anne-6'!Z17</f>
        <v>6040447</v>
      </c>
      <c r="K15" s="219">
        <f t="shared" si="0"/>
        <v>6716890</v>
      </c>
      <c r="L15" s="232">
        <f t="shared" si="1"/>
        <v>6914757</v>
      </c>
      <c r="M15" s="231">
        <v>203969</v>
      </c>
      <c r="N15" s="219">
        <v>76531</v>
      </c>
      <c r="O15" s="221">
        <v>969904</v>
      </c>
      <c r="P15" s="219">
        <v>1046435</v>
      </c>
      <c r="Q15" s="232">
        <v>1250404</v>
      </c>
      <c r="R15" s="231">
        <f>'Anne-8'!D17</f>
        <v>197867</v>
      </c>
      <c r="S15" s="219">
        <f>'Anne-7'!F17</f>
        <v>70081</v>
      </c>
      <c r="T15" s="219">
        <f>'Anne-6'!D17</f>
        <v>1092458</v>
      </c>
      <c r="U15" s="219">
        <f t="shared" si="2"/>
        <v>1162539</v>
      </c>
      <c r="V15" s="232">
        <f t="shared" si="3"/>
        <v>1360406</v>
      </c>
      <c r="W15" s="231">
        <f t="shared" si="4"/>
        <v>-6445</v>
      </c>
      <c r="X15" s="219">
        <f t="shared" si="4"/>
        <v>-62342</v>
      </c>
      <c r="Y15" s="219">
        <f t="shared" si="4"/>
        <v>472397</v>
      </c>
      <c r="Z15" s="219">
        <f t="shared" si="5"/>
        <v>410055</v>
      </c>
      <c r="AA15" s="232">
        <f t="shared" si="6"/>
        <v>403610</v>
      </c>
      <c r="AB15" s="231">
        <f t="shared" si="7"/>
        <v>-6102</v>
      </c>
      <c r="AC15" s="219">
        <f t="shared" si="7"/>
        <v>-6450</v>
      </c>
      <c r="AD15" s="219">
        <f t="shared" si="7"/>
        <v>122554</v>
      </c>
      <c r="AE15" s="219">
        <f t="shared" si="8"/>
        <v>116104</v>
      </c>
      <c r="AF15" s="232">
        <f t="shared" si="9"/>
        <v>110002</v>
      </c>
      <c r="AG15" s="239">
        <f t="shared" si="10"/>
        <v>-94.67804499612103</v>
      </c>
      <c r="AH15" s="218">
        <f t="shared" si="11"/>
        <v>10.346155080042347</v>
      </c>
      <c r="AI15" s="218">
        <f t="shared" si="11"/>
        <v>25.94300979896147</v>
      </c>
      <c r="AJ15" s="218">
        <f t="shared" si="11"/>
        <v>28.31425052736828</v>
      </c>
      <c r="AK15" s="243">
        <f t="shared" si="11"/>
        <v>27.25452788583038</v>
      </c>
      <c r="AO15">
        <v>75.65206922236172</v>
      </c>
      <c r="AP15">
        <v>10.352589008713837</v>
      </c>
      <c r="AQ15">
        <v>15.014375353947218</v>
      </c>
    </row>
    <row r="16" spans="1:43" ht="18" customHeight="1">
      <c r="A16" s="246">
        <v>10</v>
      </c>
      <c r="B16" s="247" t="s">
        <v>30</v>
      </c>
      <c r="C16" s="220">
        <v>0</v>
      </c>
      <c r="D16" s="219">
        <v>0</v>
      </c>
      <c r="E16" s="220">
        <v>0</v>
      </c>
      <c r="F16" s="219">
        <v>0</v>
      </c>
      <c r="G16" s="232">
        <v>0</v>
      </c>
      <c r="H16" s="231">
        <f>'Anne-8'!O18</f>
        <v>0</v>
      </c>
      <c r="I16" s="219">
        <f>'Anne-7'!N18</f>
        <v>0</v>
      </c>
      <c r="J16" s="219">
        <f>'Anne-6'!Z18</f>
        <v>0</v>
      </c>
      <c r="K16" s="219">
        <f t="shared" si="0"/>
        <v>0</v>
      </c>
      <c r="L16" s="232">
        <f t="shared" si="1"/>
        <v>0</v>
      </c>
      <c r="M16" s="231">
        <v>0</v>
      </c>
      <c r="N16" s="219">
        <v>0</v>
      </c>
      <c r="O16" s="221">
        <v>0</v>
      </c>
      <c r="P16" s="219">
        <v>0</v>
      </c>
      <c r="Q16" s="232">
        <v>0</v>
      </c>
      <c r="R16" s="231">
        <f>'Anne-8'!D18</f>
        <v>0</v>
      </c>
      <c r="S16" s="219">
        <f>'Anne-7'!F18</f>
        <v>0</v>
      </c>
      <c r="T16" s="219">
        <f>'Anne-6'!D18</f>
        <v>0</v>
      </c>
      <c r="U16" s="219">
        <f t="shared" si="2"/>
        <v>0</v>
      </c>
      <c r="V16" s="232">
        <f t="shared" si="3"/>
        <v>0</v>
      </c>
      <c r="W16" s="231">
        <f t="shared" si="4"/>
        <v>0</v>
      </c>
      <c r="X16" s="219">
        <f t="shared" si="4"/>
        <v>0</v>
      </c>
      <c r="Y16" s="219">
        <f t="shared" si="4"/>
        <v>0</v>
      </c>
      <c r="Z16" s="219">
        <f t="shared" si="5"/>
        <v>0</v>
      </c>
      <c r="AA16" s="232">
        <f t="shared" si="6"/>
        <v>0</v>
      </c>
      <c r="AB16" s="231">
        <f t="shared" si="7"/>
        <v>0</v>
      </c>
      <c r="AC16" s="219">
        <f t="shared" si="7"/>
        <v>0</v>
      </c>
      <c r="AD16" s="219">
        <f t="shared" si="7"/>
        <v>0</v>
      </c>
      <c r="AE16" s="219">
        <f t="shared" si="8"/>
        <v>0</v>
      </c>
      <c r="AF16" s="232">
        <f t="shared" si="9"/>
        <v>0</v>
      </c>
      <c r="AG16" s="239"/>
      <c r="AH16" s="218"/>
      <c r="AI16" s="218"/>
      <c r="AJ16" s="218"/>
      <c r="AK16" s="243"/>
      <c r="AO16">
        <v>96.71233253626572</v>
      </c>
      <c r="AP16">
        <v>17.264711710347044</v>
      </c>
      <c r="AQ16">
        <v>27.509661239312265</v>
      </c>
    </row>
    <row r="17" spans="1:43" ht="18" customHeight="1">
      <c r="A17" s="246">
        <v>11</v>
      </c>
      <c r="B17" s="247" t="s">
        <v>31</v>
      </c>
      <c r="C17" s="220">
        <v>2689455</v>
      </c>
      <c r="D17" s="219">
        <v>18002404</v>
      </c>
      <c r="E17" s="220">
        <v>37727062</v>
      </c>
      <c r="F17" s="219">
        <v>55729466</v>
      </c>
      <c r="G17" s="232">
        <v>58418921</v>
      </c>
      <c r="H17" s="231">
        <f>'Anne-8'!O19</f>
        <v>2447089</v>
      </c>
      <c r="I17" s="219">
        <f>'Anne-7'!N19</f>
        <v>14767890</v>
      </c>
      <c r="J17" s="219">
        <f>'Anne-6'!Z19</f>
        <v>37738885</v>
      </c>
      <c r="K17" s="219">
        <f t="shared" si="0"/>
        <v>52506775</v>
      </c>
      <c r="L17" s="232">
        <f t="shared" si="1"/>
        <v>54953864</v>
      </c>
      <c r="M17" s="231">
        <v>1963247</v>
      </c>
      <c r="N17" s="219">
        <v>361714</v>
      </c>
      <c r="O17" s="221">
        <v>6552974</v>
      </c>
      <c r="P17" s="219">
        <v>6914688</v>
      </c>
      <c r="Q17" s="232">
        <v>8877935</v>
      </c>
      <c r="R17" s="231">
        <f>'Anne-8'!D19</f>
        <v>1698816</v>
      </c>
      <c r="S17" s="219">
        <f>'Anne-7'!F19</f>
        <v>188186</v>
      </c>
      <c r="T17" s="219">
        <f>'Anne-6'!D19</f>
        <v>6834797</v>
      </c>
      <c r="U17" s="219">
        <f t="shared" si="2"/>
        <v>7022983</v>
      </c>
      <c r="V17" s="232">
        <f t="shared" si="3"/>
        <v>8721799</v>
      </c>
      <c r="W17" s="231">
        <f t="shared" si="4"/>
        <v>-242366</v>
      </c>
      <c r="X17" s="219">
        <f t="shared" si="4"/>
        <v>-3234514</v>
      </c>
      <c r="Y17" s="219">
        <f t="shared" si="4"/>
        <v>11823</v>
      </c>
      <c r="Z17" s="219">
        <f t="shared" si="5"/>
        <v>-3222691</v>
      </c>
      <c r="AA17" s="232">
        <f t="shared" si="6"/>
        <v>-3465057</v>
      </c>
      <c r="AB17" s="231">
        <f t="shared" si="7"/>
        <v>-264431</v>
      </c>
      <c r="AC17" s="219">
        <f t="shared" si="7"/>
        <v>-173528</v>
      </c>
      <c r="AD17" s="219">
        <f t="shared" si="7"/>
        <v>281823</v>
      </c>
      <c r="AE17" s="219">
        <f t="shared" si="8"/>
        <v>108295</v>
      </c>
      <c r="AF17" s="232">
        <f t="shared" si="9"/>
        <v>-156136</v>
      </c>
      <c r="AG17" s="239">
        <f t="shared" si="10"/>
        <v>-109.10399973593657</v>
      </c>
      <c r="AH17" s="218">
        <f t="shared" si="11"/>
        <v>5.3648863476862365</v>
      </c>
      <c r="AI17" s="219">
        <f t="shared" si="11"/>
        <v>2383.6843440751077</v>
      </c>
      <c r="AJ17" s="218">
        <f t="shared" si="11"/>
        <v>-3.3603904314748143</v>
      </c>
      <c r="AK17" s="243">
        <f t="shared" si="11"/>
        <v>4.506015341161776</v>
      </c>
      <c r="AO17">
        <v>81.5098856428569</v>
      </c>
      <c r="AP17">
        <v>12.80210163746689</v>
      </c>
      <c r="AQ17">
        <v>15.972142356815294</v>
      </c>
    </row>
    <row r="18" spans="1:43" ht="18" customHeight="1">
      <c r="A18" s="246">
        <v>12</v>
      </c>
      <c r="B18" s="247" t="s">
        <v>32</v>
      </c>
      <c r="C18" s="220">
        <v>3189796</v>
      </c>
      <c r="D18" s="219">
        <v>7720347</v>
      </c>
      <c r="E18" s="220">
        <v>26303237</v>
      </c>
      <c r="F18" s="219">
        <v>34023584</v>
      </c>
      <c r="G18" s="232">
        <v>37213380</v>
      </c>
      <c r="H18" s="231">
        <f>'Anne-8'!O20</f>
        <v>3085458</v>
      </c>
      <c r="I18" s="219">
        <f>'Anne-7'!N20</f>
        <v>5578151</v>
      </c>
      <c r="J18" s="219">
        <f>'Anne-6'!Z20</f>
        <v>25425051</v>
      </c>
      <c r="K18" s="219">
        <f t="shared" si="0"/>
        <v>31003202</v>
      </c>
      <c r="L18" s="232">
        <f t="shared" si="1"/>
        <v>34088660</v>
      </c>
      <c r="M18" s="231">
        <v>3065384</v>
      </c>
      <c r="N18" s="219">
        <v>336779</v>
      </c>
      <c r="O18" s="221">
        <v>6775671</v>
      </c>
      <c r="P18" s="219">
        <v>7112450</v>
      </c>
      <c r="Q18" s="232">
        <v>10177834</v>
      </c>
      <c r="R18" s="231">
        <f>'Anne-8'!D20</f>
        <v>2963352</v>
      </c>
      <c r="S18" s="219">
        <f>'Anne-7'!F20</f>
        <v>293449</v>
      </c>
      <c r="T18" s="219">
        <f>'Anne-6'!D20</f>
        <v>7372813</v>
      </c>
      <c r="U18" s="219">
        <f t="shared" si="2"/>
        <v>7666262</v>
      </c>
      <c r="V18" s="232">
        <f t="shared" si="3"/>
        <v>10629614</v>
      </c>
      <c r="W18" s="231">
        <f t="shared" si="4"/>
        <v>-104338</v>
      </c>
      <c r="X18" s="219">
        <f t="shared" si="4"/>
        <v>-2142196</v>
      </c>
      <c r="Y18" s="219">
        <f t="shared" si="4"/>
        <v>-878186</v>
      </c>
      <c r="Z18" s="219">
        <f t="shared" si="5"/>
        <v>-3020382</v>
      </c>
      <c r="AA18" s="232">
        <f t="shared" si="6"/>
        <v>-3124720</v>
      </c>
      <c r="AB18" s="231">
        <f t="shared" si="7"/>
        <v>-102032</v>
      </c>
      <c r="AC18" s="219">
        <f t="shared" si="7"/>
        <v>-43330</v>
      </c>
      <c r="AD18" s="219">
        <f t="shared" si="7"/>
        <v>597142</v>
      </c>
      <c r="AE18" s="219">
        <f t="shared" si="8"/>
        <v>553812</v>
      </c>
      <c r="AF18" s="232">
        <f t="shared" si="9"/>
        <v>451780</v>
      </c>
      <c r="AG18" s="239">
        <f t="shared" si="10"/>
        <v>-97.78987521324925</v>
      </c>
      <c r="AH18" s="218">
        <f t="shared" si="11"/>
        <v>2.022690734181186</v>
      </c>
      <c r="AI18" s="218">
        <f t="shared" si="11"/>
        <v>-67.99721243563437</v>
      </c>
      <c r="AJ18" s="218">
        <f t="shared" si="11"/>
        <v>-18.335826395469184</v>
      </c>
      <c r="AK18" s="427" t="s">
        <v>130</v>
      </c>
      <c r="AO18">
        <v>89.8634819992536</v>
      </c>
      <c r="AP18">
        <v>11.49175661994946</v>
      </c>
      <c r="AQ18">
        <v>16.70860410994606</v>
      </c>
    </row>
    <row r="19" spans="1:43" ht="18" customHeight="1">
      <c r="A19" s="246">
        <v>13</v>
      </c>
      <c r="B19" s="247" t="s">
        <v>33</v>
      </c>
      <c r="C19" s="220">
        <v>1138702</v>
      </c>
      <c r="D19" s="219">
        <v>9630678</v>
      </c>
      <c r="E19" s="220">
        <v>42034322</v>
      </c>
      <c r="F19" s="219">
        <v>51665000</v>
      </c>
      <c r="G19" s="232">
        <v>52803702</v>
      </c>
      <c r="H19" s="231">
        <f>'Anne-8'!O21</f>
        <v>1121385</v>
      </c>
      <c r="I19" s="219">
        <f>'Anne-7'!N21</f>
        <v>7385589</v>
      </c>
      <c r="J19" s="219">
        <f>'Anne-6'!Z21</f>
        <v>43456594</v>
      </c>
      <c r="K19" s="219">
        <f t="shared" si="0"/>
        <v>50842183</v>
      </c>
      <c r="L19" s="232">
        <f t="shared" si="1"/>
        <v>51963568</v>
      </c>
      <c r="M19" s="231">
        <v>851068</v>
      </c>
      <c r="N19" s="219">
        <v>282073</v>
      </c>
      <c r="O19" s="221">
        <v>4537780</v>
      </c>
      <c r="P19" s="219">
        <v>4819853</v>
      </c>
      <c r="Q19" s="232">
        <v>5670921</v>
      </c>
      <c r="R19" s="231">
        <f>'Anne-8'!D21</f>
        <v>835744</v>
      </c>
      <c r="S19" s="219">
        <f>'Anne-7'!F21</f>
        <v>213902</v>
      </c>
      <c r="T19" s="219">
        <f>'Anne-6'!D21</f>
        <v>4926265</v>
      </c>
      <c r="U19" s="219">
        <f t="shared" si="2"/>
        <v>5140167</v>
      </c>
      <c r="V19" s="232">
        <f t="shared" si="3"/>
        <v>5975911</v>
      </c>
      <c r="W19" s="231">
        <f t="shared" si="4"/>
        <v>-17317</v>
      </c>
      <c r="X19" s="219">
        <f t="shared" si="4"/>
        <v>-2245089</v>
      </c>
      <c r="Y19" s="219">
        <f t="shared" si="4"/>
        <v>1422272</v>
      </c>
      <c r="Z19" s="219">
        <f t="shared" si="5"/>
        <v>-822817</v>
      </c>
      <c r="AA19" s="232">
        <f t="shared" si="6"/>
        <v>-840134</v>
      </c>
      <c r="AB19" s="231">
        <f t="shared" si="7"/>
        <v>-15324</v>
      </c>
      <c r="AC19" s="219">
        <f t="shared" si="7"/>
        <v>-68171</v>
      </c>
      <c r="AD19" s="219">
        <f t="shared" si="7"/>
        <v>388485</v>
      </c>
      <c r="AE19" s="219">
        <f t="shared" si="8"/>
        <v>320314</v>
      </c>
      <c r="AF19" s="232">
        <f t="shared" si="9"/>
        <v>304990</v>
      </c>
      <c r="AG19" s="239">
        <f t="shared" si="10"/>
        <v>-88.49107813131604</v>
      </c>
      <c r="AH19" s="218">
        <f t="shared" si="11"/>
        <v>3.0364497799419086</v>
      </c>
      <c r="AI19" s="218">
        <f t="shared" si="11"/>
        <v>27.31439555865545</v>
      </c>
      <c r="AJ19" s="218">
        <f t="shared" si="11"/>
        <v>-38.928947749013446</v>
      </c>
      <c r="AK19" s="243">
        <f t="shared" si="11"/>
        <v>-36.30254221350403</v>
      </c>
      <c r="AO19">
        <v>99.97575199508901</v>
      </c>
      <c r="AP19">
        <v>19.937408595792004</v>
      </c>
      <c r="AQ19">
        <v>24.74620417337155</v>
      </c>
    </row>
    <row r="20" spans="1:43" ht="18" customHeight="1">
      <c r="A20" s="246">
        <v>14</v>
      </c>
      <c r="B20" s="247" t="s">
        <v>34</v>
      </c>
      <c r="C20" s="220">
        <v>2645757</v>
      </c>
      <c r="D20" s="219">
        <v>20601053</v>
      </c>
      <c r="E20" s="220">
        <v>49887815</v>
      </c>
      <c r="F20" s="219">
        <v>70488868</v>
      </c>
      <c r="G20" s="232">
        <v>73134625</v>
      </c>
      <c r="H20" s="231">
        <f>'Anne-8'!O22</f>
        <v>2518518</v>
      </c>
      <c r="I20" s="219">
        <f>'Anne-7'!N22</f>
        <v>14876555</v>
      </c>
      <c r="J20" s="219">
        <f>'Anne-6'!Z22</f>
        <v>52066528</v>
      </c>
      <c r="K20" s="219">
        <f t="shared" si="0"/>
        <v>66943083</v>
      </c>
      <c r="L20" s="232">
        <f t="shared" si="1"/>
        <v>69461601</v>
      </c>
      <c r="M20" s="231">
        <v>2240187</v>
      </c>
      <c r="N20" s="219">
        <v>206044</v>
      </c>
      <c r="O20" s="221">
        <v>6020021</v>
      </c>
      <c r="P20" s="219">
        <v>6226065</v>
      </c>
      <c r="Q20" s="232">
        <v>8466252</v>
      </c>
      <c r="R20" s="231">
        <f>'Anne-8'!D22</f>
        <v>2097654</v>
      </c>
      <c r="S20" s="219">
        <f>'Anne-7'!F22</f>
        <v>153334</v>
      </c>
      <c r="T20" s="219">
        <f>'Anne-6'!D22</f>
        <v>6583966</v>
      </c>
      <c r="U20" s="219">
        <f t="shared" si="2"/>
        <v>6737300</v>
      </c>
      <c r="V20" s="232">
        <f t="shared" si="3"/>
        <v>8834954</v>
      </c>
      <c r="W20" s="231">
        <f t="shared" si="4"/>
        <v>-127239</v>
      </c>
      <c r="X20" s="219">
        <f t="shared" si="4"/>
        <v>-5724498</v>
      </c>
      <c r="Y20" s="219">
        <f t="shared" si="4"/>
        <v>2178713</v>
      </c>
      <c r="Z20" s="219">
        <f t="shared" si="5"/>
        <v>-3545785</v>
      </c>
      <c r="AA20" s="232">
        <f t="shared" si="6"/>
        <v>-3673024</v>
      </c>
      <c r="AB20" s="231">
        <f t="shared" si="7"/>
        <v>-142533</v>
      </c>
      <c r="AC20" s="219">
        <f t="shared" si="7"/>
        <v>-52710</v>
      </c>
      <c r="AD20" s="219">
        <f t="shared" si="7"/>
        <v>563945</v>
      </c>
      <c r="AE20" s="219">
        <f t="shared" si="8"/>
        <v>511235</v>
      </c>
      <c r="AF20" s="232">
        <f t="shared" si="9"/>
        <v>368702</v>
      </c>
      <c r="AG20" s="239">
        <f t="shared" si="10"/>
        <v>-112.01989955909744</v>
      </c>
      <c r="AH20" s="218">
        <f t="shared" si="11"/>
        <v>0.9207794290433851</v>
      </c>
      <c r="AI20" s="218">
        <f t="shared" si="11"/>
        <v>25.88431794366674</v>
      </c>
      <c r="AJ20" s="218">
        <f t="shared" si="11"/>
        <v>-14.418104876635216</v>
      </c>
      <c r="AK20" s="427" t="s">
        <v>130</v>
      </c>
      <c r="AO20">
        <v>98.64886265123971</v>
      </c>
      <c r="AP20">
        <v>16.57914737280212</v>
      </c>
      <c r="AQ20">
        <v>19.950469763981925</v>
      </c>
    </row>
    <row r="21" spans="1:43" ht="18" customHeight="1">
      <c r="A21" s="246">
        <v>15</v>
      </c>
      <c r="B21" s="247" t="s">
        <v>35</v>
      </c>
      <c r="C21" s="220">
        <v>252373</v>
      </c>
      <c r="D21" s="219">
        <v>224755</v>
      </c>
      <c r="E21" s="220">
        <v>8293562</v>
      </c>
      <c r="F21" s="219">
        <v>8518317</v>
      </c>
      <c r="G21" s="232">
        <v>8770690</v>
      </c>
      <c r="H21" s="231">
        <f>'Anne-8'!O23</f>
        <v>216915</v>
      </c>
      <c r="I21" s="219">
        <f>'Anne-7'!N23</f>
        <v>146582</v>
      </c>
      <c r="J21" s="219">
        <f>'Anne-6'!Z23</f>
        <v>8579013</v>
      </c>
      <c r="K21" s="219">
        <f t="shared" si="0"/>
        <v>8725595</v>
      </c>
      <c r="L21" s="232">
        <f t="shared" si="1"/>
        <v>8942510</v>
      </c>
      <c r="M21" s="231">
        <v>252129</v>
      </c>
      <c r="N21" s="219">
        <v>149408</v>
      </c>
      <c r="O21" s="221">
        <v>1466940</v>
      </c>
      <c r="P21" s="219">
        <v>1616348</v>
      </c>
      <c r="Q21" s="232">
        <v>1868477</v>
      </c>
      <c r="R21" s="231">
        <f>'Anne-8'!D23</f>
        <v>216915</v>
      </c>
      <c r="S21" s="219">
        <f>'Anne-7'!F23</f>
        <v>146431</v>
      </c>
      <c r="T21" s="219">
        <f>'Anne-6'!D23</f>
        <v>1587093</v>
      </c>
      <c r="U21" s="219">
        <f t="shared" si="2"/>
        <v>1733524</v>
      </c>
      <c r="V21" s="232">
        <f t="shared" si="3"/>
        <v>1950439</v>
      </c>
      <c r="W21" s="231">
        <f t="shared" si="4"/>
        <v>-35458</v>
      </c>
      <c r="X21" s="219">
        <f t="shared" si="4"/>
        <v>-78173</v>
      </c>
      <c r="Y21" s="219">
        <f t="shared" si="4"/>
        <v>285451</v>
      </c>
      <c r="Z21" s="219">
        <f t="shared" si="5"/>
        <v>207278</v>
      </c>
      <c r="AA21" s="232">
        <f t="shared" si="6"/>
        <v>171820</v>
      </c>
      <c r="AB21" s="231">
        <f t="shared" si="7"/>
        <v>-35214</v>
      </c>
      <c r="AC21" s="219">
        <f t="shared" si="7"/>
        <v>-2977</v>
      </c>
      <c r="AD21" s="219">
        <f t="shared" si="7"/>
        <v>120153</v>
      </c>
      <c r="AE21" s="219">
        <f t="shared" si="8"/>
        <v>117176</v>
      </c>
      <c r="AF21" s="232">
        <f t="shared" si="9"/>
        <v>81962</v>
      </c>
      <c r="AG21" s="239">
        <f t="shared" si="10"/>
        <v>-99.31186192114615</v>
      </c>
      <c r="AH21" s="218">
        <f t="shared" si="11"/>
        <v>3.808220229491001</v>
      </c>
      <c r="AI21" s="218">
        <f t="shared" si="11"/>
        <v>42.09233808954952</v>
      </c>
      <c r="AJ21" s="218">
        <f t="shared" si="11"/>
        <v>56.53084263645924</v>
      </c>
      <c r="AK21" s="243">
        <f t="shared" si="11"/>
        <v>47.702246537073684</v>
      </c>
      <c r="AO21">
        <v>80.07769387343261</v>
      </c>
      <c r="AP21">
        <v>18.339876018234108</v>
      </c>
      <c r="AQ21">
        <v>23.0490133083122</v>
      </c>
    </row>
    <row r="22" spans="1:43" ht="18" customHeight="1">
      <c r="A22" s="246">
        <v>16</v>
      </c>
      <c r="B22" s="247" t="s">
        <v>36</v>
      </c>
      <c r="C22" s="220">
        <v>0</v>
      </c>
      <c r="D22" s="219">
        <v>0</v>
      </c>
      <c r="E22" s="220">
        <v>0</v>
      </c>
      <c r="F22" s="219">
        <v>0</v>
      </c>
      <c r="G22" s="232">
        <v>0</v>
      </c>
      <c r="H22" s="231">
        <f>'Anne-8'!O24</f>
        <v>0</v>
      </c>
      <c r="I22" s="219">
        <f>'Anne-7'!N24</f>
        <v>0</v>
      </c>
      <c r="J22" s="219">
        <f>'Anne-6'!Z24</f>
        <v>0</v>
      </c>
      <c r="K22" s="219">
        <f t="shared" si="0"/>
        <v>0</v>
      </c>
      <c r="L22" s="232">
        <f t="shared" si="1"/>
        <v>0</v>
      </c>
      <c r="M22" s="231">
        <v>0</v>
      </c>
      <c r="N22" s="219">
        <v>0</v>
      </c>
      <c r="O22" s="221">
        <v>0</v>
      </c>
      <c r="P22" s="219">
        <v>0</v>
      </c>
      <c r="Q22" s="232">
        <v>0</v>
      </c>
      <c r="R22" s="231">
        <f>'Anne-8'!D24</f>
        <v>0</v>
      </c>
      <c r="S22" s="219">
        <f>'Anne-7'!F24</f>
        <v>0</v>
      </c>
      <c r="T22" s="219">
        <f>'Anne-6'!D24</f>
        <v>0</v>
      </c>
      <c r="U22" s="219">
        <f t="shared" si="2"/>
        <v>0</v>
      </c>
      <c r="V22" s="232">
        <f t="shared" si="3"/>
        <v>0</v>
      </c>
      <c r="W22" s="231">
        <f t="shared" si="4"/>
        <v>0</v>
      </c>
      <c r="X22" s="219">
        <f t="shared" si="4"/>
        <v>0</v>
      </c>
      <c r="Y22" s="219">
        <f t="shared" si="4"/>
        <v>0</v>
      </c>
      <c r="Z22" s="219">
        <f t="shared" si="5"/>
        <v>0</v>
      </c>
      <c r="AA22" s="232">
        <f t="shared" si="6"/>
        <v>0</v>
      </c>
      <c r="AB22" s="231">
        <f t="shared" si="7"/>
        <v>0</v>
      </c>
      <c r="AC22" s="219">
        <f t="shared" si="7"/>
        <v>0</v>
      </c>
      <c r="AD22" s="219">
        <f t="shared" si="7"/>
        <v>0</v>
      </c>
      <c r="AE22" s="219">
        <f t="shared" si="8"/>
        <v>0</v>
      </c>
      <c r="AF22" s="232">
        <f t="shared" si="9"/>
        <v>0</v>
      </c>
      <c r="AG22" s="239"/>
      <c r="AH22" s="218"/>
      <c r="AI22" s="218"/>
      <c r="AJ22" s="218"/>
      <c r="AK22" s="243"/>
      <c r="AO22">
        <v>92.5554236023741</v>
      </c>
      <c r="AP22">
        <v>12.704929295214363</v>
      </c>
      <c r="AQ22">
        <v>16.285865295148575</v>
      </c>
    </row>
    <row r="23" spans="1:43" ht="18" customHeight="1">
      <c r="A23" s="246">
        <v>17</v>
      </c>
      <c r="B23" s="247" t="s">
        <v>37</v>
      </c>
      <c r="C23" s="220">
        <v>462793</v>
      </c>
      <c r="D23" s="219">
        <v>3468706</v>
      </c>
      <c r="E23" s="220">
        <v>23150229</v>
      </c>
      <c r="F23" s="219">
        <v>26618935</v>
      </c>
      <c r="G23" s="232">
        <v>27081728</v>
      </c>
      <c r="H23" s="231">
        <f>'Anne-8'!O25</f>
        <v>395998</v>
      </c>
      <c r="I23" s="219">
        <f>'Anne-7'!N25</f>
        <v>2217341</v>
      </c>
      <c r="J23" s="219">
        <f>'Anne-6'!Z25</f>
        <v>22252160</v>
      </c>
      <c r="K23" s="219">
        <f t="shared" si="0"/>
        <v>24469501</v>
      </c>
      <c r="L23" s="232">
        <f t="shared" si="1"/>
        <v>24865499</v>
      </c>
      <c r="M23" s="231">
        <v>451480</v>
      </c>
      <c r="N23" s="219">
        <v>130341</v>
      </c>
      <c r="O23" s="221">
        <v>4314273</v>
      </c>
      <c r="P23" s="219">
        <v>4444614</v>
      </c>
      <c r="Q23" s="232">
        <v>4896094</v>
      </c>
      <c r="R23" s="231">
        <f>'Anne-8'!D25</f>
        <v>385484</v>
      </c>
      <c r="S23" s="219">
        <f>'Anne-7'!F25</f>
        <v>73701</v>
      </c>
      <c r="T23" s="219">
        <f>'Anne-6'!D25</f>
        <v>4396977</v>
      </c>
      <c r="U23" s="219">
        <f t="shared" si="2"/>
        <v>4470678</v>
      </c>
      <c r="V23" s="232">
        <f t="shared" si="3"/>
        <v>4856162</v>
      </c>
      <c r="W23" s="231">
        <f t="shared" si="4"/>
        <v>-66795</v>
      </c>
      <c r="X23" s="219">
        <f t="shared" si="4"/>
        <v>-1251365</v>
      </c>
      <c r="Y23" s="219">
        <f t="shared" si="4"/>
        <v>-898069</v>
      </c>
      <c r="Z23" s="219">
        <f t="shared" si="5"/>
        <v>-2149434</v>
      </c>
      <c r="AA23" s="232">
        <f t="shared" si="6"/>
        <v>-2216229</v>
      </c>
      <c r="AB23" s="231">
        <f t="shared" si="7"/>
        <v>-65996</v>
      </c>
      <c r="AC23" s="219">
        <f t="shared" si="7"/>
        <v>-56640</v>
      </c>
      <c r="AD23" s="219">
        <f t="shared" si="7"/>
        <v>82704</v>
      </c>
      <c r="AE23" s="219">
        <f t="shared" si="8"/>
        <v>26064</v>
      </c>
      <c r="AF23" s="232">
        <f t="shared" si="9"/>
        <v>-39932</v>
      </c>
      <c r="AG23" s="239">
        <f t="shared" si="10"/>
        <v>-98.8038026798413</v>
      </c>
      <c r="AH23" s="218">
        <f t="shared" si="11"/>
        <v>4.526257326998917</v>
      </c>
      <c r="AI23" s="218">
        <f t="shared" si="11"/>
        <v>-9.209091951731994</v>
      </c>
      <c r="AJ23" s="218">
        <f t="shared" si="11"/>
        <v>-1.2125982933181478</v>
      </c>
      <c r="AK23" s="243">
        <f t="shared" si="11"/>
        <v>1.8017993627914806</v>
      </c>
      <c r="AO23">
        <v>91.34139595647996</v>
      </c>
      <c r="AP23">
        <v>11.113399608757312</v>
      </c>
      <c r="AQ23">
        <v>15.062521230115248</v>
      </c>
    </row>
    <row r="24" spans="1:43" ht="18" customHeight="1">
      <c r="A24" s="246">
        <v>18</v>
      </c>
      <c r="B24" s="247" t="s">
        <v>38</v>
      </c>
      <c r="C24" s="220">
        <v>1442370</v>
      </c>
      <c r="D24" s="219">
        <v>9471383</v>
      </c>
      <c r="E24" s="220">
        <v>22491648</v>
      </c>
      <c r="F24" s="219">
        <v>31963031</v>
      </c>
      <c r="G24" s="232">
        <v>33405401</v>
      </c>
      <c r="H24" s="231">
        <f>'Anne-8'!O26</f>
        <v>1353392</v>
      </c>
      <c r="I24" s="219">
        <f>'Anne-7'!N26</f>
        <v>6935936</v>
      </c>
      <c r="J24" s="219">
        <f>'Anne-6'!Z26</f>
        <v>22080301</v>
      </c>
      <c r="K24" s="219">
        <f t="shared" si="0"/>
        <v>29016237</v>
      </c>
      <c r="L24" s="232">
        <f t="shared" si="1"/>
        <v>30369629</v>
      </c>
      <c r="M24" s="231">
        <v>1089917</v>
      </c>
      <c r="N24" s="219">
        <v>57261</v>
      </c>
      <c r="O24" s="221">
        <v>4630076</v>
      </c>
      <c r="P24" s="219">
        <v>4687337</v>
      </c>
      <c r="Q24" s="232">
        <v>5777254</v>
      </c>
      <c r="R24" s="231">
        <f>'Anne-8'!D26</f>
        <v>1019448</v>
      </c>
      <c r="S24" s="219">
        <f>'Anne-7'!F26</f>
        <v>41977</v>
      </c>
      <c r="T24" s="219">
        <f>'Anne-6'!D26</f>
        <v>4355262</v>
      </c>
      <c r="U24" s="219">
        <f t="shared" si="2"/>
        <v>4397239</v>
      </c>
      <c r="V24" s="232">
        <f t="shared" si="3"/>
        <v>5416687</v>
      </c>
      <c r="W24" s="231">
        <f t="shared" si="4"/>
        <v>-88978</v>
      </c>
      <c r="X24" s="219">
        <f t="shared" si="4"/>
        <v>-2535447</v>
      </c>
      <c r="Y24" s="219">
        <f t="shared" si="4"/>
        <v>-411347</v>
      </c>
      <c r="Z24" s="219">
        <f t="shared" si="5"/>
        <v>-2946794</v>
      </c>
      <c r="AA24" s="232">
        <f t="shared" si="6"/>
        <v>-3035772</v>
      </c>
      <c r="AB24" s="231">
        <f t="shared" si="7"/>
        <v>-70469</v>
      </c>
      <c r="AC24" s="219">
        <f t="shared" si="7"/>
        <v>-15284</v>
      </c>
      <c r="AD24" s="219">
        <f t="shared" si="7"/>
        <v>-274814</v>
      </c>
      <c r="AE24" s="219">
        <f t="shared" si="8"/>
        <v>-290098</v>
      </c>
      <c r="AF24" s="232">
        <f t="shared" si="9"/>
        <v>-360567</v>
      </c>
      <c r="AG24" s="239">
        <f t="shared" si="10"/>
        <v>-79.19822877565241</v>
      </c>
      <c r="AH24" s="218">
        <f t="shared" si="11"/>
        <v>0.6028128373418967</v>
      </c>
      <c r="AI24" s="218">
        <f t="shared" si="11"/>
        <v>66.80831512081042</v>
      </c>
      <c r="AJ24" s="218">
        <f t="shared" si="11"/>
        <v>9.844529342736546</v>
      </c>
      <c r="AK24" s="243">
        <f t="shared" si="11"/>
        <v>11.877275368505934</v>
      </c>
      <c r="AO24">
        <v>94.11533218085481</v>
      </c>
      <c r="AP24">
        <v>18.71956511535175</v>
      </c>
      <c r="AQ24">
        <v>21.312717023130332</v>
      </c>
    </row>
    <row r="25" spans="1:43" ht="18" customHeight="1">
      <c r="A25" s="246">
        <v>19</v>
      </c>
      <c r="B25" s="247" t="s">
        <v>39</v>
      </c>
      <c r="C25" s="220">
        <v>1164307</v>
      </c>
      <c r="D25" s="219">
        <v>14060872</v>
      </c>
      <c r="E25" s="220">
        <v>35116323</v>
      </c>
      <c r="F25" s="219">
        <v>49177195</v>
      </c>
      <c r="G25" s="232">
        <v>50341502</v>
      </c>
      <c r="H25" s="231">
        <f>'Anne-8'!O27</f>
        <v>1050682</v>
      </c>
      <c r="I25" s="219">
        <f>'Anne-7'!N27</f>
        <v>10741861</v>
      </c>
      <c r="J25" s="219">
        <f>'Anne-6'!Z27</f>
        <v>36215833</v>
      </c>
      <c r="K25" s="219">
        <f t="shared" si="0"/>
        <v>46957694</v>
      </c>
      <c r="L25" s="232">
        <f t="shared" si="1"/>
        <v>48008376</v>
      </c>
      <c r="M25" s="231">
        <v>1046625</v>
      </c>
      <c r="N25" s="219">
        <v>207161</v>
      </c>
      <c r="O25" s="221">
        <v>5444689</v>
      </c>
      <c r="P25" s="219">
        <v>5651850</v>
      </c>
      <c r="Q25" s="232">
        <v>6698475</v>
      </c>
      <c r="R25" s="231">
        <f>'Anne-8'!D27</f>
        <v>928757</v>
      </c>
      <c r="S25" s="219">
        <f>'Anne-7'!F27</f>
        <v>181323</v>
      </c>
      <c r="T25" s="219">
        <f>'Anne-6'!D27</f>
        <v>5730522</v>
      </c>
      <c r="U25" s="219">
        <f t="shared" si="2"/>
        <v>5911845</v>
      </c>
      <c r="V25" s="232">
        <f t="shared" si="3"/>
        <v>6840602</v>
      </c>
      <c r="W25" s="231">
        <f t="shared" si="4"/>
        <v>-113625</v>
      </c>
      <c r="X25" s="219">
        <f t="shared" si="4"/>
        <v>-3319011</v>
      </c>
      <c r="Y25" s="219">
        <f t="shared" si="4"/>
        <v>1099510</v>
      </c>
      <c r="Z25" s="219">
        <f t="shared" si="5"/>
        <v>-2219501</v>
      </c>
      <c r="AA25" s="232">
        <f t="shared" si="6"/>
        <v>-2333126</v>
      </c>
      <c r="AB25" s="231">
        <f t="shared" si="7"/>
        <v>-117868</v>
      </c>
      <c r="AC25" s="219">
        <f t="shared" si="7"/>
        <v>-25838</v>
      </c>
      <c r="AD25" s="219">
        <f t="shared" si="7"/>
        <v>285833</v>
      </c>
      <c r="AE25" s="219">
        <f t="shared" si="8"/>
        <v>259995</v>
      </c>
      <c r="AF25" s="232">
        <f t="shared" si="9"/>
        <v>142127</v>
      </c>
      <c r="AG25" s="239">
        <f t="shared" si="10"/>
        <v>-103.73421342134212</v>
      </c>
      <c r="AH25" s="218">
        <f t="shared" si="11"/>
        <v>0.7784849161391753</v>
      </c>
      <c r="AI25" s="218">
        <f t="shared" si="11"/>
        <v>25.996398395648974</v>
      </c>
      <c r="AJ25" s="218">
        <f t="shared" si="11"/>
        <v>-11.714119525064417</v>
      </c>
      <c r="AK25" s="243">
        <f t="shared" si="11"/>
        <v>-6.091698433775115</v>
      </c>
      <c r="AO25">
        <v>97.34252422050575</v>
      </c>
      <c r="AP25">
        <v>11.391638372182417</v>
      </c>
      <c r="AQ25">
        <v>15.115794189748346</v>
      </c>
    </row>
    <row r="26" spans="1:43" ht="18" customHeight="1">
      <c r="A26" s="246">
        <v>20</v>
      </c>
      <c r="B26" s="247" t="s">
        <v>40</v>
      </c>
      <c r="C26" s="220">
        <v>1859512</v>
      </c>
      <c r="D26" s="219">
        <v>13039955</v>
      </c>
      <c r="E26" s="220">
        <v>51452554</v>
      </c>
      <c r="F26" s="219">
        <v>64492509</v>
      </c>
      <c r="G26" s="232">
        <v>66352021</v>
      </c>
      <c r="H26" s="231">
        <f>'Anne-8'!O28</f>
        <v>1794445</v>
      </c>
      <c r="I26" s="219">
        <f>'Anne-7'!N28</f>
        <v>11147144</v>
      </c>
      <c r="J26" s="219">
        <f>'Anne-6'!Z28</f>
        <v>47677475</v>
      </c>
      <c r="K26" s="219">
        <f t="shared" si="0"/>
        <v>58824619</v>
      </c>
      <c r="L26" s="232">
        <f t="shared" si="1"/>
        <v>60619064</v>
      </c>
      <c r="M26" s="231">
        <v>1665407</v>
      </c>
      <c r="N26" s="219">
        <v>417327</v>
      </c>
      <c r="O26" s="221">
        <v>7624774</v>
      </c>
      <c r="P26" s="219">
        <v>8042101</v>
      </c>
      <c r="Q26" s="232">
        <v>9707508</v>
      </c>
      <c r="R26" s="231">
        <f>'Anne-8'!D28</f>
        <v>1598166</v>
      </c>
      <c r="S26" s="219">
        <f>'Anne-7'!F28</f>
        <v>105387</v>
      </c>
      <c r="T26" s="219">
        <f>'Anne-6'!D28</f>
        <v>7793655</v>
      </c>
      <c r="U26" s="219">
        <f t="shared" si="2"/>
        <v>7899042</v>
      </c>
      <c r="V26" s="232">
        <f t="shared" si="3"/>
        <v>9497208</v>
      </c>
      <c r="W26" s="231">
        <f t="shared" si="4"/>
        <v>-65067</v>
      </c>
      <c r="X26" s="219">
        <f t="shared" si="4"/>
        <v>-1892811</v>
      </c>
      <c r="Y26" s="219">
        <f t="shared" si="4"/>
        <v>-3775079</v>
      </c>
      <c r="Z26" s="219">
        <f t="shared" si="5"/>
        <v>-5667890</v>
      </c>
      <c r="AA26" s="232">
        <f t="shared" si="6"/>
        <v>-5732957</v>
      </c>
      <c r="AB26" s="231">
        <f t="shared" si="7"/>
        <v>-67241</v>
      </c>
      <c r="AC26" s="219">
        <f t="shared" si="7"/>
        <v>-311940</v>
      </c>
      <c r="AD26" s="219">
        <f t="shared" si="7"/>
        <v>168881</v>
      </c>
      <c r="AE26" s="219">
        <f t="shared" si="8"/>
        <v>-143059</v>
      </c>
      <c r="AF26" s="232">
        <f t="shared" si="9"/>
        <v>-210300</v>
      </c>
      <c r="AG26" s="239">
        <f t="shared" si="10"/>
        <v>-103.34117140793336</v>
      </c>
      <c r="AH26" s="218">
        <f t="shared" si="11"/>
        <v>16.480250801585576</v>
      </c>
      <c r="AI26" s="218">
        <f t="shared" si="11"/>
        <v>-4.473575254981419</v>
      </c>
      <c r="AJ26" s="218">
        <f t="shared" si="11"/>
        <v>2.5240256956292377</v>
      </c>
      <c r="AK26" s="243">
        <f t="shared" si="11"/>
        <v>3.6682640389593013</v>
      </c>
      <c r="AO26">
        <v>99.55887062165478</v>
      </c>
      <c r="AP26">
        <v>9.574846881692652</v>
      </c>
      <c r="AQ26">
        <v>12.881944355487466</v>
      </c>
    </row>
    <row r="27" spans="1:43" ht="18" customHeight="1">
      <c r="A27" s="246">
        <v>21</v>
      </c>
      <c r="B27" s="247" t="s">
        <v>41</v>
      </c>
      <c r="C27" s="220">
        <v>0</v>
      </c>
      <c r="D27" s="219">
        <v>0</v>
      </c>
      <c r="E27" s="220">
        <v>0</v>
      </c>
      <c r="F27" s="219">
        <v>0</v>
      </c>
      <c r="G27" s="232">
        <v>0</v>
      </c>
      <c r="H27" s="231">
        <f>'Anne-8'!O29</f>
        <v>0</v>
      </c>
      <c r="I27" s="219">
        <f>'Anne-7'!N29</f>
        <v>0</v>
      </c>
      <c r="J27" s="219">
        <f>'Anne-6'!Z29</f>
        <v>0</v>
      </c>
      <c r="K27" s="219">
        <f t="shared" si="0"/>
        <v>0</v>
      </c>
      <c r="L27" s="232">
        <f t="shared" si="1"/>
        <v>0</v>
      </c>
      <c r="M27" s="231">
        <v>0</v>
      </c>
      <c r="N27" s="219">
        <v>0</v>
      </c>
      <c r="O27" s="221">
        <v>0</v>
      </c>
      <c r="P27" s="219">
        <v>0</v>
      </c>
      <c r="Q27" s="232">
        <v>0</v>
      </c>
      <c r="R27" s="231">
        <f>'Anne-8'!D29</f>
        <v>0</v>
      </c>
      <c r="S27" s="219">
        <f>'Anne-7'!F29</f>
        <v>0</v>
      </c>
      <c r="T27" s="219">
        <f>'Anne-6'!D29</f>
        <v>0</v>
      </c>
      <c r="U27" s="219">
        <f t="shared" si="2"/>
        <v>0</v>
      </c>
      <c r="V27" s="232">
        <f t="shared" si="3"/>
        <v>0</v>
      </c>
      <c r="W27" s="231">
        <f t="shared" si="4"/>
        <v>0</v>
      </c>
      <c r="X27" s="219">
        <f t="shared" si="4"/>
        <v>0</v>
      </c>
      <c r="Y27" s="219">
        <f t="shared" si="4"/>
        <v>0</v>
      </c>
      <c r="Z27" s="219">
        <f t="shared" si="5"/>
        <v>0</v>
      </c>
      <c r="AA27" s="232">
        <f t="shared" si="6"/>
        <v>0</v>
      </c>
      <c r="AB27" s="231">
        <f t="shared" si="7"/>
        <v>0</v>
      </c>
      <c r="AC27" s="219">
        <f t="shared" si="7"/>
        <v>0</v>
      </c>
      <c r="AD27" s="219">
        <f t="shared" si="7"/>
        <v>0</v>
      </c>
      <c r="AE27" s="219">
        <f t="shared" si="8"/>
        <v>0</v>
      </c>
      <c r="AF27" s="232">
        <f t="shared" si="9"/>
        <v>0</v>
      </c>
      <c r="AG27" s="239"/>
      <c r="AH27" s="218"/>
      <c r="AI27" s="218"/>
      <c r="AJ27" s="218"/>
      <c r="AK27" s="243"/>
      <c r="AO27">
        <v>87.26371724717006</v>
      </c>
      <c r="AP27">
        <v>11.211276424601657</v>
      </c>
      <c r="AQ27">
        <v>17.78165157448183</v>
      </c>
    </row>
    <row r="28" spans="1:43" ht="18" customHeight="1">
      <c r="A28" s="246">
        <v>22</v>
      </c>
      <c r="B28" s="247" t="s">
        <v>42</v>
      </c>
      <c r="C28" s="220">
        <v>1272212</v>
      </c>
      <c r="D28" s="219">
        <v>18441295</v>
      </c>
      <c r="E28" s="220">
        <v>56658020</v>
      </c>
      <c r="F28" s="219">
        <v>75099315</v>
      </c>
      <c r="G28" s="232">
        <v>76371527</v>
      </c>
      <c r="H28" s="231">
        <f>'Anne-8'!O30</f>
        <v>1055341</v>
      </c>
      <c r="I28" s="219">
        <f>'Anne-7'!N30</f>
        <v>14704030</v>
      </c>
      <c r="J28" s="219">
        <f>'Anne-6'!Z30</f>
        <v>57543534</v>
      </c>
      <c r="K28" s="219">
        <f t="shared" si="0"/>
        <v>72247564</v>
      </c>
      <c r="L28" s="232">
        <f t="shared" si="1"/>
        <v>73302905</v>
      </c>
      <c r="M28" s="231">
        <v>1167606</v>
      </c>
      <c r="N28" s="219">
        <v>449328</v>
      </c>
      <c r="O28" s="221">
        <v>9667435</v>
      </c>
      <c r="P28" s="219">
        <v>10116763</v>
      </c>
      <c r="Q28" s="232">
        <v>11284369</v>
      </c>
      <c r="R28" s="231">
        <f>'Anne-8'!D30</f>
        <v>950351</v>
      </c>
      <c r="S28" s="219">
        <f>'Anne-7'!F30</f>
        <v>422059</v>
      </c>
      <c r="T28" s="219">
        <f>'Anne-6'!D30</f>
        <v>9881250</v>
      </c>
      <c r="U28" s="219">
        <f t="shared" si="2"/>
        <v>10303309</v>
      </c>
      <c r="V28" s="232">
        <f t="shared" si="3"/>
        <v>11253660</v>
      </c>
      <c r="W28" s="231">
        <f t="shared" si="4"/>
        <v>-216871</v>
      </c>
      <c r="X28" s="219">
        <f t="shared" si="4"/>
        <v>-3737265</v>
      </c>
      <c r="Y28" s="219">
        <f t="shared" si="4"/>
        <v>885514</v>
      </c>
      <c r="Z28" s="219">
        <f t="shared" si="5"/>
        <v>-2851751</v>
      </c>
      <c r="AA28" s="232">
        <f t="shared" si="6"/>
        <v>-3068622</v>
      </c>
      <c r="AB28" s="231">
        <f t="shared" si="7"/>
        <v>-217255</v>
      </c>
      <c r="AC28" s="219">
        <f t="shared" si="7"/>
        <v>-27269</v>
      </c>
      <c r="AD28" s="219">
        <f t="shared" si="7"/>
        <v>213815</v>
      </c>
      <c r="AE28" s="219">
        <f t="shared" si="8"/>
        <v>186546</v>
      </c>
      <c r="AF28" s="232">
        <f t="shared" si="9"/>
        <v>-30709</v>
      </c>
      <c r="AG28" s="239">
        <f t="shared" si="10"/>
        <v>-100.17706378446174</v>
      </c>
      <c r="AH28" s="218">
        <f t="shared" si="11"/>
        <v>0.7296512289067004</v>
      </c>
      <c r="AI28" s="218">
        <f t="shared" si="11"/>
        <v>24.14586330650899</v>
      </c>
      <c r="AJ28" s="218">
        <f t="shared" si="11"/>
        <v>-6.5414547062488975</v>
      </c>
      <c r="AK28" s="243">
        <f t="shared" si="11"/>
        <v>1.0007423527563837</v>
      </c>
      <c r="AO28">
        <v>68.87037925969265</v>
      </c>
      <c r="AP28">
        <v>10.946565807191986</v>
      </c>
      <c r="AQ28">
        <v>17.509361117584195</v>
      </c>
    </row>
    <row r="29" spans="1:43" ht="18" customHeight="1">
      <c r="A29" s="246">
        <v>23</v>
      </c>
      <c r="B29" s="247" t="s">
        <v>43</v>
      </c>
      <c r="C29" s="220">
        <v>796836</v>
      </c>
      <c r="D29" s="219">
        <v>15259445</v>
      </c>
      <c r="E29" s="220">
        <v>38404703</v>
      </c>
      <c r="F29" s="219">
        <v>53664148</v>
      </c>
      <c r="G29" s="232">
        <v>54460984</v>
      </c>
      <c r="H29" s="231">
        <f>'Anne-8'!O31</f>
        <v>772483</v>
      </c>
      <c r="I29" s="219">
        <f>'Anne-7'!N31</f>
        <v>11224272</v>
      </c>
      <c r="J29" s="219">
        <f>'Anne-6'!Z31</f>
        <v>37250070</v>
      </c>
      <c r="K29" s="219">
        <f t="shared" si="0"/>
        <v>48474342</v>
      </c>
      <c r="L29" s="232">
        <f t="shared" si="1"/>
        <v>49246825</v>
      </c>
      <c r="M29" s="231">
        <v>759356</v>
      </c>
      <c r="N29" s="219">
        <v>155316</v>
      </c>
      <c r="O29" s="221">
        <v>4644821</v>
      </c>
      <c r="P29" s="219">
        <v>4800137</v>
      </c>
      <c r="Q29" s="232">
        <v>5559493</v>
      </c>
      <c r="R29" s="231">
        <f>'Anne-8'!D31</f>
        <v>734046</v>
      </c>
      <c r="S29" s="219">
        <f>'Anne-7'!F31</f>
        <v>134651</v>
      </c>
      <c r="T29" s="219">
        <f>'Anne-6'!D31</f>
        <v>4768840</v>
      </c>
      <c r="U29" s="219">
        <f t="shared" si="2"/>
        <v>4903491</v>
      </c>
      <c r="V29" s="232">
        <f t="shared" si="3"/>
        <v>5637537</v>
      </c>
      <c r="W29" s="231">
        <f t="shared" si="4"/>
        <v>-24353</v>
      </c>
      <c r="X29" s="219">
        <f t="shared" si="4"/>
        <v>-4035173</v>
      </c>
      <c r="Y29" s="219">
        <f t="shared" si="4"/>
        <v>-1154633</v>
      </c>
      <c r="Z29" s="219">
        <f t="shared" si="5"/>
        <v>-5189806</v>
      </c>
      <c r="AA29" s="232">
        <f t="shared" si="6"/>
        <v>-5214159</v>
      </c>
      <c r="AB29" s="231">
        <f t="shared" si="7"/>
        <v>-25310</v>
      </c>
      <c r="AC29" s="219">
        <f t="shared" si="7"/>
        <v>-20665</v>
      </c>
      <c r="AD29" s="219">
        <f t="shared" si="7"/>
        <v>124019</v>
      </c>
      <c r="AE29" s="219">
        <f t="shared" si="8"/>
        <v>103354</v>
      </c>
      <c r="AF29" s="232">
        <f t="shared" si="9"/>
        <v>78044</v>
      </c>
      <c r="AG29" s="239">
        <f>-(AB29)/W29*100</f>
        <v>-103.92970065289697</v>
      </c>
      <c r="AH29" s="218">
        <f t="shared" si="11"/>
        <v>0.5121217851130546</v>
      </c>
      <c r="AI29" s="218">
        <f t="shared" si="11"/>
        <v>-10.74098869510918</v>
      </c>
      <c r="AJ29" s="218">
        <f t="shared" si="11"/>
        <v>-1.9914809917750298</v>
      </c>
      <c r="AK29" s="427" t="s">
        <v>130</v>
      </c>
      <c r="AO29">
        <v>89.0007910295627</v>
      </c>
      <c r="AP29">
        <v>13.078399230144221</v>
      </c>
      <c r="AQ29">
        <v>17.471444620372107</v>
      </c>
    </row>
    <row r="30" spans="1:37" ht="18" customHeight="1">
      <c r="A30" s="246">
        <v>24</v>
      </c>
      <c r="B30" s="247" t="s">
        <v>44</v>
      </c>
      <c r="C30" s="220">
        <v>680679</v>
      </c>
      <c r="D30" s="219">
        <v>6859723</v>
      </c>
      <c r="E30" s="220">
        <v>39413120</v>
      </c>
      <c r="F30" s="219">
        <v>46272843</v>
      </c>
      <c r="G30" s="232">
        <v>46953522</v>
      </c>
      <c r="H30" s="231">
        <f>'Anne-8'!O32</f>
        <v>592202</v>
      </c>
      <c r="I30" s="219">
        <f>'Anne-7'!N32</f>
        <v>4150973</v>
      </c>
      <c r="J30" s="219">
        <f>'Anne-6'!Z32</f>
        <v>39160325</v>
      </c>
      <c r="K30" s="219">
        <f t="shared" si="0"/>
        <v>43311298</v>
      </c>
      <c r="L30" s="232">
        <f t="shared" si="1"/>
        <v>43903500</v>
      </c>
      <c r="M30" s="231">
        <v>672411</v>
      </c>
      <c r="N30" s="219">
        <v>83559</v>
      </c>
      <c r="O30" s="221">
        <v>3514875</v>
      </c>
      <c r="P30" s="219">
        <v>3598434</v>
      </c>
      <c r="Q30" s="232">
        <v>4270845</v>
      </c>
      <c r="R30" s="231">
        <f>'Anne-8'!D32</f>
        <v>583990</v>
      </c>
      <c r="S30" s="219">
        <f>'Anne-7'!F32</f>
        <v>76073</v>
      </c>
      <c r="T30" s="219">
        <f>'Anne-6'!D32</f>
        <v>3547960</v>
      </c>
      <c r="U30" s="219">
        <f t="shared" si="2"/>
        <v>3624033</v>
      </c>
      <c r="V30" s="232">
        <f t="shared" si="3"/>
        <v>4208023</v>
      </c>
      <c r="W30" s="231">
        <f t="shared" si="4"/>
        <v>-88477</v>
      </c>
      <c r="X30" s="219">
        <f t="shared" si="4"/>
        <v>-2708750</v>
      </c>
      <c r="Y30" s="219">
        <f t="shared" si="4"/>
        <v>-252795</v>
      </c>
      <c r="Z30" s="219">
        <f t="shared" si="5"/>
        <v>-2961545</v>
      </c>
      <c r="AA30" s="232">
        <f t="shared" si="6"/>
        <v>-3050022</v>
      </c>
      <c r="AB30" s="231">
        <f t="shared" si="7"/>
        <v>-88421</v>
      </c>
      <c r="AC30" s="219">
        <f t="shared" si="7"/>
        <v>-7486</v>
      </c>
      <c r="AD30" s="219">
        <f t="shared" si="7"/>
        <v>33085</v>
      </c>
      <c r="AE30" s="219">
        <f t="shared" si="8"/>
        <v>25599</v>
      </c>
      <c r="AF30" s="232">
        <f t="shared" si="9"/>
        <v>-62822</v>
      </c>
      <c r="AG30" s="239">
        <f t="shared" si="10"/>
        <v>-99.93670671473942</v>
      </c>
      <c r="AH30" s="218">
        <f t="shared" si="11"/>
        <v>0.27636363636363637</v>
      </c>
      <c r="AI30" s="218">
        <f t="shared" si="11"/>
        <v>-13.087679740501196</v>
      </c>
      <c r="AJ30" s="218">
        <f t="shared" si="11"/>
        <v>-0.8643799098105887</v>
      </c>
      <c r="AK30" s="427" t="s">
        <v>130</v>
      </c>
    </row>
    <row r="31" spans="1:37" ht="18" customHeight="1">
      <c r="A31" s="246">
        <v>25</v>
      </c>
      <c r="B31" s="247" t="s">
        <v>45</v>
      </c>
      <c r="C31" s="220">
        <v>1182171</v>
      </c>
      <c r="D31" s="219">
        <v>6123555</v>
      </c>
      <c r="E31" s="220">
        <v>18866570</v>
      </c>
      <c r="F31" s="219">
        <v>24990125</v>
      </c>
      <c r="G31" s="232">
        <v>26172296</v>
      </c>
      <c r="H31" s="231">
        <f>'Anne-8'!O33</f>
        <v>1149222</v>
      </c>
      <c r="I31" s="219">
        <f>'Anne-7'!N33</f>
        <v>3792248</v>
      </c>
      <c r="J31" s="219">
        <f>'Anne-6'!Z33</f>
        <v>18756373</v>
      </c>
      <c r="K31" s="219">
        <f t="shared" si="0"/>
        <v>22548621</v>
      </c>
      <c r="L31" s="232">
        <f t="shared" si="1"/>
        <v>23697843</v>
      </c>
      <c r="M31" s="231">
        <v>975123</v>
      </c>
      <c r="N31" s="219">
        <v>36660</v>
      </c>
      <c r="O31" s="221">
        <v>2389618</v>
      </c>
      <c r="P31" s="219">
        <v>2426278</v>
      </c>
      <c r="Q31" s="232">
        <v>3401401</v>
      </c>
      <c r="R31" s="231">
        <f>'Anne-8'!D33</f>
        <v>935168</v>
      </c>
      <c r="S31" s="219">
        <f>'Anne-7'!F33</f>
        <v>24524</v>
      </c>
      <c r="T31" s="219">
        <f>'Anne-6'!D33</f>
        <v>2271280</v>
      </c>
      <c r="U31" s="219">
        <f t="shared" si="2"/>
        <v>2295804</v>
      </c>
      <c r="V31" s="232">
        <f t="shared" si="3"/>
        <v>3230972</v>
      </c>
      <c r="W31" s="231">
        <f t="shared" si="4"/>
        <v>-32949</v>
      </c>
      <c r="X31" s="219">
        <f t="shared" si="4"/>
        <v>-2331307</v>
      </c>
      <c r="Y31" s="219">
        <f t="shared" si="4"/>
        <v>-110197</v>
      </c>
      <c r="Z31" s="219">
        <f t="shared" si="5"/>
        <v>-2441504</v>
      </c>
      <c r="AA31" s="232">
        <f t="shared" si="6"/>
        <v>-2474453</v>
      </c>
      <c r="AB31" s="231">
        <f t="shared" si="7"/>
        <v>-39955</v>
      </c>
      <c r="AC31" s="219">
        <f t="shared" si="7"/>
        <v>-12136</v>
      </c>
      <c r="AD31" s="219">
        <f t="shared" si="7"/>
        <v>-118338</v>
      </c>
      <c r="AE31" s="219">
        <f t="shared" si="8"/>
        <v>-130474</v>
      </c>
      <c r="AF31" s="232">
        <f t="shared" si="9"/>
        <v>-170429</v>
      </c>
      <c r="AG31" s="239">
        <f t="shared" si="10"/>
        <v>-121.26316428419679</v>
      </c>
      <c r="AH31" s="218">
        <f t="shared" si="11"/>
        <v>0.5205663604149947</v>
      </c>
      <c r="AI31" s="218">
        <f t="shared" si="11"/>
        <v>107.3876784304473</v>
      </c>
      <c r="AJ31" s="218">
        <f t="shared" si="11"/>
        <v>5.344001074747369</v>
      </c>
      <c r="AK31" s="427" t="s">
        <v>130</v>
      </c>
    </row>
    <row r="32" spans="1:43" ht="18" customHeight="1">
      <c r="A32" s="246">
        <v>26</v>
      </c>
      <c r="B32" s="247" t="s">
        <v>46</v>
      </c>
      <c r="C32" s="220">
        <v>1331291</v>
      </c>
      <c r="D32" s="219">
        <v>2446412</v>
      </c>
      <c r="E32" s="220">
        <v>10757876</v>
      </c>
      <c r="F32" s="219">
        <v>13204288</v>
      </c>
      <c r="G32" s="232">
        <v>14535579</v>
      </c>
      <c r="H32" s="231">
        <f>'Anne-8'!O34</f>
        <v>1331302</v>
      </c>
      <c r="I32" s="219">
        <f>'Anne-7'!N34</f>
        <v>2252700</v>
      </c>
      <c r="J32" s="219">
        <f>'Anne-6'!Z34</f>
        <v>11096273</v>
      </c>
      <c r="K32" s="219">
        <f t="shared" si="0"/>
        <v>13348973</v>
      </c>
      <c r="L32" s="232">
        <f t="shared" si="1"/>
        <v>14680275</v>
      </c>
      <c r="M32" s="231">
        <v>827945</v>
      </c>
      <c r="N32" s="219">
        <v>21981</v>
      </c>
      <c r="O32" s="221">
        <v>1658232</v>
      </c>
      <c r="P32" s="219">
        <v>1680213</v>
      </c>
      <c r="Q32" s="232">
        <v>2508158</v>
      </c>
      <c r="R32" s="231">
        <f>'Anne-8'!D34</f>
        <v>817907</v>
      </c>
      <c r="S32" s="219">
        <f>'Anne-7'!F34</f>
        <v>16221</v>
      </c>
      <c r="T32" s="219">
        <f>'Anne-6'!D34</f>
        <v>1573838</v>
      </c>
      <c r="U32" s="219">
        <f t="shared" si="2"/>
        <v>1590059</v>
      </c>
      <c r="V32" s="232">
        <f t="shared" si="3"/>
        <v>2407966</v>
      </c>
      <c r="W32" s="231">
        <f t="shared" si="4"/>
        <v>11</v>
      </c>
      <c r="X32" s="219">
        <f t="shared" si="4"/>
        <v>-193712</v>
      </c>
      <c r="Y32" s="219">
        <f t="shared" si="4"/>
        <v>338397</v>
      </c>
      <c r="Z32" s="219">
        <f t="shared" si="5"/>
        <v>144685</v>
      </c>
      <c r="AA32" s="232">
        <f t="shared" si="6"/>
        <v>144696</v>
      </c>
      <c r="AB32" s="231">
        <f t="shared" si="7"/>
        <v>-10038</v>
      </c>
      <c r="AC32" s="219">
        <f t="shared" si="7"/>
        <v>-5760</v>
      </c>
      <c r="AD32" s="219">
        <f t="shared" si="7"/>
        <v>-84394</v>
      </c>
      <c r="AE32" s="219">
        <f t="shared" si="8"/>
        <v>-90154</v>
      </c>
      <c r="AF32" s="232">
        <f t="shared" si="9"/>
        <v>-100192</v>
      </c>
      <c r="AG32" s="427" t="s">
        <v>130</v>
      </c>
      <c r="AH32" s="218">
        <f t="shared" si="11"/>
        <v>2.9734864128190304</v>
      </c>
      <c r="AI32" s="218">
        <f t="shared" si="11"/>
        <v>-24.93934638900463</v>
      </c>
      <c r="AJ32" s="427" t="s">
        <v>130</v>
      </c>
      <c r="AK32" s="427" t="s">
        <v>130</v>
      </c>
      <c r="AO32">
        <v>75.48276683668153</v>
      </c>
      <c r="AP32">
        <v>11.834952688399733</v>
      </c>
      <c r="AQ32">
        <v>15.749281300529915</v>
      </c>
    </row>
    <row r="33" spans="1:37" ht="18" customHeight="1">
      <c r="A33" s="240"/>
      <c r="B33" s="238" t="s">
        <v>47</v>
      </c>
      <c r="C33" s="233">
        <f aca="true" t="shared" si="12" ref="C33:AA33">SUM(C8:C32)</f>
        <v>26244002</v>
      </c>
      <c r="D33" s="233">
        <f t="shared" si="12"/>
        <v>195631382</v>
      </c>
      <c r="E33" s="233">
        <f t="shared" si="12"/>
        <v>645017937</v>
      </c>
      <c r="F33" s="233">
        <f t="shared" si="12"/>
        <v>840649319</v>
      </c>
      <c r="G33" s="233">
        <f t="shared" si="12"/>
        <v>866893321</v>
      </c>
      <c r="H33" s="233">
        <f t="shared" si="12"/>
        <v>24573939</v>
      </c>
      <c r="I33" s="222">
        <f t="shared" si="12"/>
        <v>148724529</v>
      </c>
      <c r="J33" s="222">
        <f t="shared" si="12"/>
        <v>642669024</v>
      </c>
      <c r="K33" s="222">
        <f t="shared" si="12"/>
        <v>791393553</v>
      </c>
      <c r="L33" s="234">
        <f t="shared" si="12"/>
        <v>815967492</v>
      </c>
      <c r="M33" s="233">
        <f t="shared" si="12"/>
        <v>22467732</v>
      </c>
      <c r="N33" s="222">
        <f t="shared" si="12"/>
        <v>4003914</v>
      </c>
      <c r="O33" s="222">
        <f t="shared" si="12"/>
        <v>94509074</v>
      </c>
      <c r="P33" s="222">
        <f t="shared" si="12"/>
        <v>98512988</v>
      </c>
      <c r="Q33" s="234">
        <f t="shared" si="12"/>
        <v>120980720</v>
      </c>
      <c r="R33" s="233">
        <f t="shared" si="12"/>
        <v>20759607</v>
      </c>
      <c r="S33" s="222">
        <f t="shared" si="12"/>
        <v>2779760</v>
      </c>
      <c r="T33" s="222">
        <f t="shared" si="12"/>
        <v>97461133</v>
      </c>
      <c r="U33" s="222">
        <f t="shared" si="12"/>
        <v>100240893</v>
      </c>
      <c r="V33" s="234">
        <f t="shared" si="12"/>
        <v>121000500</v>
      </c>
      <c r="W33" s="233">
        <f t="shared" si="12"/>
        <v>-1670063</v>
      </c>
      <c r="X33" s="222">
        <f t="shared" si="12"/>
        <v>-46906853</v>
      </c>
      <c r="Y33" s="222">
        <f t="shared" si="12"/>
        <v>-2348913</v>
      </c>
      <c r="Z33" s="222">
        <f t="shared" si="12"/>
        <v>-49255766</v>
      </c>
      <c r="AA33" s="234">
        <f t="shared" si="12"/>
        <v>-50925829</v>
      </c>
      <c r="AB33" s="233">
        <f>SUM(AB8:AB32)</f>
        <v>-1708125</v>
      </c>
      <c r="AC33" s="222">
        <f>SUM(AC8:AC32)</f>
        <v>-1224154</v>
      </c>
      <c r="AD33" s="222">
        <f>SUM(AD8:AD32)</f>
        <v>2952059</v>
      </c>
      <c r="AE33" s="222">
        <f>SUM(AE8:AE32)</f>
        <v>1727905</v>
      </c>
      <c r="AF33" s="234">
        <f>SUM(AF8:AF32)</f>
        <v>19780</v>
      </c>
      <c r="AG33" s="239">
        <f t="shared" si="10"/>
        <v>-102.27907569953946</v>
      </c>
      <c r="AH33" s="223">
        <f t="shared" si="11"/>
        <v>2.6097551246936135</v>
      </c>
      <c r="AI33" s="223">
        <f t="shared" si="11"/>
        <v>-125.67766451971613</v>
      </c>
      <c r="AJ33" s="223">
        <f t="shared" si="11"/>
        <v>-3.5080258420912593</v>
      </c>
      <c r="AK33" s="427" t="s">
        <v>130</v>
      </c>
    </row>
    <row r="34" spans="1:37" ht="18" customHeight="1">
      <c r="A34" s="228">
        <v>27</v>
      </c>
      <c r="B34" s="238" t="s">
        <v>48</v>
      </c>
      <c r="C34" s="220">
        <v>2901405</v>
      </c>
      <c r="D34" s="219">
        <v>14654252</v>
      </c>
      <c r="E34" s="219">
        <v>28178930</v>
      </c>
      <c r="F34" s="219">
        <v>42833182</v>
      </c>
      <c r="G34" s="232">
        <v>45734587</v>
      </c>
      <c r="H34" s="231">
        <f>'Anne-8'!O36</f>
        <v>2953543</v>
      </c>
      <c r="I34" s="219">
        <f>'Anne-7'!N36</f>
        <v>12213648</v>
      </c>
      <c r="J34" s="219">
        <f>'Anne-6'!Z36</f>
        <v>27660142</v>
      </c>
      <c r="K34" s="219">
        <f t="shared" si="0"/>
        <v>39873790</v>
      </c>
      <c r="L34" s="232">
        <f t="shared" si="1"/>
        <v>42827333</v>
      </c>
      <c r="M34" s="239"/>
      <c r="N34" s="218"/>
      <c r="O34" s="224"/>
      <c r="P34" s="219">
        <f>SUM(N34:O34)</f>
        <v>0</v>
      </c>
      <c r="Q34" s="232">
        <f>P34+M34</f>
        <v>0</v>
      </c>
      <c r="R34" s="231">
        <f>'[1]LL31.03.10'!D36</f>
        <v>0</v>
      </c>
      <c r="S34" s="219">
        <f>'[1]WLL31.03.10'!D36+'[1]WLL31.03.10'!L36</f>
        <v>0</v>
      </c>
      <c r="T34" s="219">
        <f>'[1]M31.03.10'!D36</f>
        <v>0</v>
      </c>
      <c r="U34" s="219">
        <f>SUM(S34:T34)</f>
        <v>0</v>
      </c>
      <c r="V34" s="232">
        <f>U34+R34</f>
        <v>0</v>
      </c>
      <c r="W34" s="231">
        <f t="shared" si="4"/>
        <v>52138</v>
      </c>
      <c r="X34" s="219">
        <f>I34-D34</f>
        <v>-2440604</v>
      </c>
      <c r="Y34" s="219">
        <f>J34-E34</f>
        <v>-518788</v>
      </c>
      <c r="Z34" s="219">
        <f>SUM(X34:Y34)</f>
        <v>-2959392</v>
      </c>
      <c r="AA34" s="232">
        <f>Z34+W34</f>
        <v>-2907254</v>
      </c>
      <c r="AB34" s="231">
        <f aca="true" t="shared" si="13" ref="AB34:AD35">R34-M34</f>
        <v>0</v>
      </c>
      <c r="AC34" s="219">
        <f t="shared" si="13"/>
        <v>0</v>
      </c>
      <c r="AD34" s="219">
        <f t="shared" si="13"/>
        <v>0</v>
      </c>
      <c r="AE34" s="219">
        <f>SUM(AC34:AD34)</f>
        <v>0</v>
      </c>
      <c r="AF34" s="232">
        <f>AE34+AB34</f>
        <v>0</v>
      </c>
      <c r="AG34" s="239"/>
      <c r="AH34" s="218"/>
      <c r="AI34" s="218"/>
      <c r="AJ34" s="218"/>
      <c r="AK34" s="243"/>
    </row>
    <row r="35" spans="1:37" ht="18" customHeight="1">
      <c r="A35" s="228">
        <v>28</v>
      </c>
      <c r="B35" s="238" t="s">
        <v>49</v>
      </c>
      <c r="C35" s="220">
        <v>3005733</v>
      </c>
      <c r="D35" s="219">
        <v>14054575</v>
      </c>
      <c r="E35" s="219">
        <v>22559732</v>
      </c>
      <c r="F35" s="219">
        <v>36614307</v>
      </c>
      <c r="G35" s="232">
        <v>39620040</v>
      </c>
      <c r="H35" s="231">
        <f>'Anne-8'!O37</f>
        <v>2991733</v>
      </c>
      <c r="I35" s="219">
        <f>'Anne-7'!N37</f>
        <v>9962003</v>
      </c>
      <c r="J35" s="219">
        <f>'Anne-6'!Z37</f>
        <v>21516490</v>
      </c>
      <c r="K35" s="219">
        <f t="shared" si="0"/>
        <v>31478493</v>
      </c>
      <c r="L35" s="232">
        <f t="shared" si="1"/>
        <v>34470226</v>
      </c>
      <c r="M35" s="239"/>
      <c r="N35" s="218"/>
      <c r="O35" s="224"/>
      <c r="P35" s="219">
        <f>SUM(N35:O35)</f>
        <v>0</v>
      </c>
      <c r="Q35" s="232">
        <f>P35+M35</f>
        <v>0</v>
      </c>
      <c r="R35" s="231">
        <f>'[1]LL31.03.10'!D37</f>
        <v>0</v>
      </c>
      <c r="S35" s="219">
        <f>'[1]WLL31.03.10'!D37+'[1]WLL31.03.10'!L37</f>
        <v>0</v>
      </c>
      <c r="T35" s="219">
        <f>'[1]M31.03.10'!D37</f>
        <v>0</v>
      </c>
      <c r="U35" s="219">
        <f>SUM(S35:T35)</f>
        <v>0</v>
      </c>
      <c r="V35" s="232">
        <f>U35+R35</f>
        <v>0</v>
      </c>
      <c r="W35" s="231">
        <f t="shared" si="4"/>
        <v>-14000</v>
      </c>
      <c r="X35" s="219">
        <f>I35-D35</f>
        <v>-4092572</v>
      </c>
      <c r="Y35" s="219">
        <f>J35-E35</f>
        <v>-1043242</v>
      </c>
      <c r="Z35" s="219">
        <f>SUM(X35:Y35)</f>
        <v>-5135814</v>
      </c>
      <c r="AA35" s="232">
        <f>Z35+W35</f>
        <v>-5149814</v>
      </c>
      <c r="AB35" s="231">
        <f t="shared" si="13"/>
        <v>0</v>
      </c>
      <c r="AC35" s="219">
        <f t="shared" si="13"/>
        <v>0</v>
      </c>
      <c r="AD35" s="219">
        <f t="shared" si="13"/>
        <v>0</v>
      </c>
      <c r="AE35" s="219">
        <f>SUM(AC35:AD35)</f>
        <v>0</v>
      </c>
      <c r="AF35" s="232">
        <f>AE35+AB35</f>
        <v>0</v>
      </c>
      <c r="AG35" s="239"/>
      <c r="AH35" s="218"/>
      <c r="AI35" s="218"/>
      <c r="AJ35" s="218"/>
      <c r="AK35" s="243"/>
    </row>
    <row r="36" spans="1:37" ht="18" customHeight="1" thickBot="1">
      <c r="A36" s="248"/>
      <c r="B36" s="249" t="s">
        <v>50</v>
      </c>
      <c r="C36" s="245">
        <f aca="true" t="shared" si="14" ref="C36:AF36">SUM(C33:C35)</f>
        <v>32151140</v>
      </c>
      <c r="D36" s="236">
        <f t="shared" si="14"/>
        <v>224340209</v>
      </c>
      <c r="E36" s="236">
        <f t="shared" si="14"/>
        <v>695756599</v>
      </c>
      <c r="F36" s="236">
        <f t="shared" si="14"/>
        <v>920096808</v>
      </c>
      <c r="G36" s="237">
        <f t="shared" si="14"/>
        <v>952247948</v>
      </c>
      <c r="H36" s="235">
        <f t="shared" si="14"/>
        <v>30519215</v>
      </c>
      <c r="I36" s="236">
        <f t="shared" si="14"/>
        <v>170900180</v>
      </c>
      <c r="J36" s="236">
        <f t="shared" si="14"/>
        <v>691845656</v>
      </c>
      <c r="K36" s="236">
        <f t="shared" si="14"/>
        <v>862745836</v>
      </c>
      <c r="L36" s="237">
        <f t="shared" si="14"/>
        <v>893265051</v>
      </c>
      <c r="M36" s="235">
        <f t="shared" si="14"/>
        <v>22467732</v>
      </c>
      <c r="N36" s="236">
        <f t="shared" si="14"/>
        <v>4003914</v>
      </c>
      <c r="O36" s="236">
        <f t="shared" si="14"/>
        <v>94509074</v>
      </c>
      <c r="P36" s="236">
        <f t="shared" si="14"/>
        <v>98512988</v>
      </c>
      <c r="Q36" s="237">
        <f t="shared" si="14"/>
        <v>120980720</v>
      </c>
      <c r="R36" s="235">
        <f t="shared" si="14"/>
        <v>20759607</v>
      </c>
      <c r="S36" s="236">
        <f t="shared" si="14"/>
        <v>2779760</v>
      </c>
      <c r="T36" s="236">
        <f t="shared" si="14"/>
        <v>97461133</v>
      </c>
      <c r="U36" s="236">
        <f t="shared" si="14"/>
        <v>100240893</v>
      </c>
      <c r="V36" s="237">
        <f t="shared" si="14"/>
        <v>121000500</v>
      </c>
      <c r="W36" s="235">
        <f t="shared" si="14"/>
        <v>-1631925</v>
      </c>
      <c r="X36" s="236">
        <f t="shared" si="14"/>
        <v>-53440029</v>
      </c>
      <c r="Y36" s="236">
        <f t="shared" si="14"/>
        <v>-3910943</v>
      </c>
      <c r="Z36" s="236">
        <f t="shared" si="14"/>
        <v>-57350972</v>
      </c>
      <c r="AA36" s="237">
        <f t="shared" si="14"/>
        <v>-58982897</v>
      </c>
      <c r="AB36" s="235">
        <f t="shared" si="14"/>
        <v>-1708125</v>
      </c>
      <c r="AC36" s="236">
        <f t="shared" si="14"/>
        <v>-1224154</v>
      </c>
      <c r="AD36" s="236">
        <f t="shared" si="14"/>
        <v>2952059</v>
      </c>
      <c r="AE36" s="236">
        <f t="shared" si="14"/>
        <v>1727905</v>
      </c>
      <c r="AF36" s="237">
        <f t="shared" si="14"/>
        <v>19780</v>
      </c>
      <c r="AG36" s="252">
        <f t="shared" si="10"/>
        <v>-104.66933223034147</v>
      </c>
      <c r="AH36" s="244">
        <f t="shared" si="11"/>
        <v>2.2907060922440743</v>
      </c>
      <c r="AI36" s="244">
        <f t="shared" si="11"/>
        <v>-75.48202569047925</v>
      </c>
      <c r="AJ36" s="244">
        <f t="shared" si="11"/>
        <v>-3.0128608805444483</v>
      </c>
      <c r="AK36" s="428" t="s">
        <v>130</v>
      </c>
    </row>
    <row r="39" ht="12.75">
      <c r="L39">
        <v>653927947</v>
      </c>
    </row>
    <row r="40" ht="12.75">
      <c r="L40" s="81">
        <f>L39-L36</f>
        <v>-239337104</v>
      </c>
    </row>
  </sheetData>
  <sheetProtection/>
  <mergeCells count="33">
    <mergeCell ref="W3:AF3"/>
    <mergeCell ref="AG3:AK4"/>
    <mergeCell ref="C4:G4"/>
    <mergeCell ref="H4:L4"/>
    <mergeCell ref="M4:Q4"/>
    <mergeCell ref="R4:V4"/>
    <mergeCell ref="W4:AA4"/>
    <mergeCell ref="AB4:AF4"/>
    <mergeCell ref="A3:A6"/>
    <mergeCell ref="B3:B6"/>
    <mergeCell ref="C3:L3"/>
    <mergeCell ref="M3:V3"/>
    <mergeCell ref="I5:K5"/>
    <mergeCell ref="L5:L6"/>
    <mergeCell ref="M5:M6"/>
    <mergeCell ref="N5:P5"/>
    <mergeCell ref="C5:C6"/>
    <mergeCell ref="D5:F5"/>
    <mergeCell ref="G5:G6"/>
    <mergeCell ref="H5:H6"/>
    <mergeCell ref="W5:W6"/>
    <mergeCell ref="X5:Z5"/>
    <mergeCell ref="Q5:Q6"/>
    <mergeCell ref="R5:R6"/>
    <mergeCell ref="S5:U5"/>
    <mergeCell ref="V5:V6"/>
    <mergeCell ref="AK5:AK6"/>
    <mergeCell ref="AA5:AA6"/>
    <mergeCell ref="AB5:AB6"/>
    <mergeCell ref="AC5:AE5"/>
    <mergeCell ref="AF5:AF6"/>
    <mergeCell ref="AG5:AG6"/>
    <mergeCell ref="AH5:AJ5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0"/>
  <sheetViews>
    <sheetView view="pageBreakPreview" zoomScaleSheetLayoutView="100" zoomScalePageLayoutView="0" workbookViewId="0" topLeftCell="A1">
      <pane xSplit="4" ySplit="7" topLeftCell="S3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Y31" sqref="Y31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4.140625" style="0" customWidth="1"/>
    <col min="4" max="4" width="12.7109375" style="0" customWidth="1"/>
    <col min="5" max="5" width="10.28125" style="0" customWidth="1"/>
    <col min="6" max="9" width="12.7109375" style="0" customWidth="1"/>
    <col min="10" max="10" width="11.57421875" style="0" hidden="1" customWidth="1"/>
    <col min="11" max="11" width="0.13671875" style="0" hidden="1" customWidth="1"/>
    <col min="12" max="12" width="11.57421875" style="0" customWidth="1"/>
    <col min="13" max="13" width="12.7109375" style="0" customWidth="1"/>
    <col min="14" max="15" width="11.57421875" style="0" customWidth="1"/>
    <col min="16" max="16" width="9.8515625" style="0" customWidth="1"/>
    <col min="17" max="17" width="11.57421875" style="0" customWidth="1"/>
    <col min="18" max="18" width="9.8515625" style="0" customWidth="1"/>
    <col min="19" max="19" width="10.00390625" style="0" customWidth="1"/>
    <col min="20" max="21" width="13.00390625" style="0" customWidth="1"/>
    <col min="22" max="22" width="8.28125" style="0" customWidth="1"/>
    <col min="23" max="23" width="10.7109375" style="0" customWidth="1"/>
    <col min="24" max="24" width="11.7109375" style="0" customWidth="1"/>
    <col min="25" max="25" width="12.7109375" style="0" customWidth="1"/>
    <col min="26" max="26" width="13.140625" style="0" customWidth="1"/>
    <col min="27" max="27" width="14.28125" style="0" customWidth="1"/>
    <col min="29" max="29" width="9.28125" style="0" bestFit="1" customWidth="1"/>
    <col min="30" max="30" width="9.57421875" style="0" bestFit="1" customWidth="1"/>
    <col min="34" max="35" width="0" style="0" hidden="1" customWidth="1"/>
  </cols>
  <sheetData>
    <row r="1" s="163" customFormat="1" ht="15">
      <c r="U1" s="332" t="s">
        <v>114</v>
      </c>
    </row>
    <row r="2" spans="2:11" ht="14.25">
      <c r="B2" s="2" t="str">
        <f>'Anne-2'!B2</f>
        <v>No. 1-2(1)/Market Share/2012-CP&amp;M </v>
      </c>
      <c r="C2" s="2"/>
      <c r="D2" s="2"/>
      <c r="E2" s="2"/>
      <c r="F2" s="2"/>
      <c r="G2" s="2"/>
      <c r="H2" s="2" t="str">
        <f>'Anne-2'!F2</f>
        <v>Dated: 28th February 2013.</v>
      </c>
      <c r="I2" s="2"/>
      <c r="J2" s="2"/>
      <c r="K2" s="2"/>
    </row>
    <row r="3" ht="9" customHeight="1"/>
    <row r="4" spans="2:3" ht="15">
      <c r="B4" s="26" t="s">
        <v>239</v>
      </c>
      <c r="C4" s="26"/>
    </row>
    <row r="5" spans="4:19" ht="12" customHeight="1">
      <c r="D5">
        <v>1</v>
      </c>
      <c r="E5">
        <v>2</v>
      </c>
      <c r="G5">
        <v>3</v>
      </c>
      <c r="H5">
        <v>4</v>
      </c>
      <c r="I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</row>
    <row r="6" spans="1:27" ht="16.5" customHeight="1">
      <c r="A6" s="529" t="s">
        <v>62</v>
      </c>
      <c r="B6" s="531" t="s">
        <v>63</v>
      </c>
      <c r="C6" s="529" t="s">
        <v>118</v>
      </c>
      <c r="D6" s="20" t="s">
        <v>64</v>
      </c>
      <c r="E6" s="20"/>
      <c r="F6" s="20"/>
      <c r="G6" s="20"/>
      <c r="H6" s="20"/>
      <c r="I6" s="20"/>
      <c r="J6" s="20"/>
      <c r="K6" s="20"/>
      <c r="L6" s="20"/>
      <c r="M6" s="1"/>
      <c r="N6" s="20"/>
      <c r="O6" s="20"/>
      <c r="P6" s="20"/>
      <c r="Q6" s="20"/>
      <c r="R6" s="20"/>
      <c r="S6" s="20"/>
      <c r="T6" s="528" t="s">
        <v>69</v>
      </c>
      <c r="U6" s="528" t="s">
        <v>70</v>
      </c>
      <c r="V6" s="528" t="s">
        <v>106</v>
      </c>
      <c r="W6" s="527" t="s">
        <v>121</v>
      </c>
      <c r="X6" s="525" t="s">
        <v>101</v>
      </c>
      <c r="Y6" s="47"/>
      <c r="Z6" s="80" t="s">
        <v>248</v>
      </c>
      <c r="AA6" s="48"/>
    </row>
    <row r="7" spans="1:27" ht="43.5" customHeight="1">
      <c r="A7" s="530"/>
      <c r="B7" s="531"/>
      <c r="C7" s="530"/>
      <c r="D7" s="49" t="s">
        <v>100</v>
      </c>
      <c r="E7" s="49" t="s">
        <v>2</v>
      </c>
      <c r="F7" s="37" t="s">
        <v>60</v>
      </c>
      <c r="G7" s="49" t="s">
        <v>3</v>
      </c>
      <c r="H7" s="49" t="s">
        <v>65</v>
      </c>
      <c r="I7" s="49" t="s">
        <v>124</v>
      </c>
      <c r="J7" s="49" t="s">
        <v>125</v>
      </c>
      <c r="K7" s="49" t="s">
        <v>126</v>
      </c>
      <c r="L7" s="49" t="s">
        <v>66</v>
      </c>
      <c r="M7" s="49" t="s">
        <v>67</v>
      </c>
      <c r="N7" s="49" t="s">
        <v>68</v>
      </c>
      <c r="O7" s="165" t="s">
        <v>134</v>
      </c>
      <c r="P7" s="165" t="s">
        <v>144</v>
      </c>
      <c r="Q7" s="50" t="s">
        <v>190</v>
      </c>
      <c r="R7" s="50" t="s">
        <v>189</v>
      </c>
      <c r="S7" s="49" t="s">
        <v>188</v>
      </c>
      <c r="T7" s="528"/>
      <c r="U7" s="528"/>
      <c r="V7" s="528"/>
      <c r="W7" s="526"/>
      <c r="X7" s="526"/>
      <c r="Y7" s="47" t="s">
        <v>47</v>
      </c>
      <c r="Z7" s="40" t="s">
        <v>87</v>
      </c>
      <c r="AA7" s="51" t="s">
        <v>88</v>
      </c>
    </row>
    <row r="8" spans="1:41" ht="14.25" customHeight="1">
      <c r="A8" s="5">
        <v>1</v>
      </c>
      <c r="B8" s="6" t="s">
        <v>21</v>
      </c>
      <c r="C8" s="6"/>
      <c r="D8" s="36"/>
      <c r="E8" s="5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>
        <f>G8+H8+L8+I8+M8+N8+S8+R8+Q8+O8+P8</f>
        <v>0</v>
      </c>
      <c r="U8" s="36">
        <f aca="true" t="shared" si="0" ref="U8:U33">F8+T8</f>
        <v>0</v>
      </c>
      <c r="V8" s="89"/>
      <c r="W8" s="57"/>
      <c r="X8" s="57"/>
      <c r="Y8" s="36">
        <f>Z8+AA8</f>
        <v>380.7616935983906</v>
      </c>
      <c r="Z8" s="58">
        <v>148.75912320746838</v>
      </c>
      <c r="AA8" s="58">
        <v>232.0025703909222</v>
      </c>
      <c r="AC8" s="73">
        <v>192.9999999999999</v>
      </c>
      <c r="AD8" s="73">
        <v>301</v>
      </c>
      <c r="AO8">
        <v>13.774230059876057</v>
      </c>
    </row>
    <row r="9" spans="1:41" ht="15">
      <c r="A9" s="5">
        <v>2</v>
      </c>
      <c r="B9" s="6" t="s">
        <v>22</v>
      </c>
      <c r="C9" s="85">
        <v>2</v>
      </c>
      <c r="D9" s="36">
        <f>'Anne-6'!D10+'Anne-7'!F10+'Anne-8'!D10</f>
        <v>11125378</v>
      </c>
      <c r="E9" s="56"/>
      <c r="F9" s="36">
        <f>D9+E9</f>
        <v>11125378</v>
      </c>
      <c r="G9" s="84">
        <f>'Anne-6'!G10+'Anne-8'!H10</f>
        <v>18010683</v>
      </c>
      <c r="H9" s="8">
        <f>'Anne-6'!S10+'Anne-7'!I10+'Anne-8'!I10</f>
        <v>6868533</v>
      </c>
      <c r="I9" s="36">
        <f>'Anne-6'!I10+'Anne-8'!M10</f>
        <v>5694251</v>
      </c>
      <c r="J9" s="36">
        <f>G9-D9</f>
        <v>6885305</v>
      </c>
      <c r="K9" s="105">
        <f>J9/D9</f>
        <v>0.6188827921172656</v>
      </c>
      <c r="L9" s="8">
        <f>'Anne-8'!J10+'Anne-7'!J10</f>
        <v>6829436</v>
      </c>
      <c r="M9" s="36">
        <f>'Anne-6'!N10</f>
        <v>10838496</v>
      </c>
      <c r="N9" s="36">
        <f>'Anne-6'!K10</f>
        <v>1802320</v>
      </c>
      <c r="O9" s="36">
        <f>'Anne-6'!V10</f>
        <v>4226266</v>
      </c>
      <c r="P9" s="36">
        <f>'Anne-6'!W10</f>
        <v>0</v>
      </c>
      <c r="Q9" s="36">
        <f>+'Anne-7'!L10+'Anne-8'!L10</f>
        <v>637894</v>
      </c>
      <c r="R9" s="36"/>
      <c r="S9" s="36"/>
      <c r="T9" s="36">
        <f aca="true" t="shared" si="1" ref="T9:T37">G9+H9+L9+I9+M9+N9+S9+R9+Q9+O9+P9</f>
        <v>54907879</v>
      </c>
      <c r="U9" s="36">
        <f t="shared" si="0"/>
        <v>66033257</v>
      </c>
      <c r="V9" s="139">
        <f>D9/U9*100</f>
        <v>16.84814365585511</v>
      </c>
      <c r="W9" s="57">
        <f>U9/(X9*1000)</f>
        <v>0.7723753214488003</v>
      </c>
      <c r="X9" s="59">
        <f>Y9</f>
        <v>85493.74270029322</v>
      </c>
      <c r="Y9" s="36">
        <f aca="true" t="shared" si="2" ref="Y9:Y37">Z9+AA9</f>
        <v>85493.74270029322</v>
      </c>
      <c r="Z9" s="58">
        <v>23697.309668989063</v>
      </c>
      <c r="AA9" s="58">
        <v>61796.43303130416</v>
      </c>
      <c r="AC9" s="73">
        <v>23487</v>
      </c>
      <c r="AD9" s="73">
        <v>61248</v>
      </c>
      <c r="AO9">
        <v>15.992765979229496</v>
      </c>
    </row>
    <row r="10" spans="1:41" ht="15">
      <c r="A10" s="5">
        <v>3</v>
      </c>
      <c r="B10" s="6" t="s">
        <v>23</v>
      </c>
      <c r="C10" s="85">
        <v>5</v>
      </c>
      <c r="D10" s="36">
        <f>'Anne-6'!D11+'Anne-7'!F11+'Anne-8'!D11</f>
        <v>1424883</v>
      </c>
      <c r="E10" s="56"/>
      <c r="F10" s="36">
        <f aca="true" t="shared" si="3" ref="F10:F36">D10+E10</f>
        <v>1424883</v>
      </c>
      <c r="G10" s="84">
        <f>'Anne-6'!G11+'Anne-8'!H11</f>
        <v>3851324</v>
      </c>
      <c r="H10" s="84">
        <f>'Anne-6'!S11+'Anne-7'!I11+'Anne-8'!I11</f>
        <v>3048336</v>
      </c>
      <c r="I10" s="84">
        <f>'Anne-6'!I11+'Anne-8'!M11</f>
        <v>2208181</v>
      </c>
      <c r="J10" s="36"/>
      <c r="K10" s="36"/>
      <c r="L10" s="8">
        <f>'Anne-8'!J11+'Anne-7'!J11</f>
        <v>0</v>
      </c>
      <c r="M10" s="8">
        <f>'Anne-6'!N11</f>
        <v>382840</v>
      </c>
      <c r="N10" s="84">
        <f>'Anne-6'!K11</f>
        <v>3550416</v>
      </c>
      <c r="O10" s="36">
        <f>'Anne-6'!V11</f>
        <v>776</v>
      </c>
      <c r="P10" s="36">
        <f>'Anne-6'!W11</f>
        <v>0</v>
      </c>
      <c r="Q10" s="36">
        <f>+'Anne-7'!L11+'Anne-8'!L11</f>
        <v>1280</v>
      </c>
      <c r="R10" s="36"/>
      <c r="S10" s="36"/>
      <c r="T10" s="36">
        <f t="shared" si="1"/>
        <v>13043153</v>
      </c>
      <c r="U10" s="36">
        <f t="shared" si="0"/>
        <v>14468036</v>
      </c>
      <c r="V10" s="139">
        <f>D10/U10*100</f>
        <v>9.848489456343627</v>
      </c>
      <c r="W10" s="57">
        <f aca="true" t="shared" si="4" ref="W10:W37">U10/(X10*1000)</f>
        <v>0.45514342095154</v>
      </c>
      <c r="X10" s="59">
        <f aca="true" t="shared" si="5" ref="X10:X36">Y10</f>
        <v>31787.861438824224</v>
      </c>
      <c r="Y10" s="36">
        <f t="shared" si="2"/>
        <v>31787.861438824224</v>
      </c>
      <c r="Z10" s="58">
        <v>4753.412543734153</v>
      </c>
      <c r="AA10" s="58">
        <v>27034.44889509007</v>
      </c>
      <c r="AC10" s="73">
        <v>4571.000000000004</v>
      </c>
      <c r="AD10" s="73">
        <v>25997</v>
      </c>
      <c r="AO10">
        <v>15.942150650811174</v>
      </c>
    </row>
    <row r="11" spans="1:41" ht="15">
      <c r="A11" s="5">
        <v>4</v>
      </c>
      <c r="B11" s="6" t="s">
        <v>24</v>
      </c>
      <c r="C11" s="85">
        <v>4</v>
      </c>
      <c r="D11" s="36">
        <f>'Anne-6'!D12+'Anne-7'!F12+'Anne-8'!D12</f>
        <v>6351773</v>
      </c>
      <c r="E11" s="56"/>
      <c r="F11" s="36">
        <f t="shared" si="3"/>
        <v>6351773</v>
      </c>
      <c r="G11" s="84">
        <f>'Anne-6'!G12+'Anne-8'!H12</f>
        <v>18798853</v>
      </c>
      <c r="H11" s="84">
        <f>'Anne-6'!S12+'Anne-7'!I12+'Anne-8'!I12</f>
        <v>9210270</v>
      </c>
      <c r="I11" s="84">
        <f>'Anne-6'!I12+'Anne-8'!M12</f>
        <v>6382003</v>
      </c>
      <c r="J11" s="36">
        <f>G11-D11</f>
        <v>12447080</v>
      </c>
      <c r="K11" s="105">
        <f>J11/D11</f>
        <v>1.959622927330684</v>
      </c>
      <c r="L11" s="8">
        <f>'Anne-8'!J12+'Anne-7'!J12</f>
        <v>3756391</v>
      </c>
      <c r="M11" s="36">
        <f>'Anne-6'!N12</f>
        <v>5587271</v>
      </c>
      <c r="N11" s="36">
        <f>'Anne-6'!K12</f>
        <v>4767543</v>
      </c>
      <c r="O11" s="36">
        <f>'Anne-6'!V12</f>
        <v>4750129</v>
      </c>
      <c r="P11" s="36">
        <f>'Anne-6'!W12</f>
        <v>18596</v>
      </c>
      <c r="Q11" s="36">
        <f>+'Anne-7'!L12+'Anne-8'!L12</f>
        <v>1314278</v>
      </c>
      <c r="R11" s="36"/>
      <c r="S11" s="36"/>
      <c r="T11" s="36">
        <f t="shared" si="1"/>
        <v>54585334</v>
      </c>
      <c r="U11" s="36">
        <f t="shared" si="0"/>
        <v>60937107</v>
      </c>
      <c r="V11" s="139">
        <f>D11/U11*100</f>
        <v>10.423489582464098</v>
      </c>
      <c r="W11" s="57">
        <f t="shared" si="4"/>
        <v>0.4314078285096756</v>
      </c>
      <c r="X11" s="59">
        <f>Y11+Y17</f>
        <v>141251.74132910598</v>
      </c>
      <c r="Y11" s="36">
        <f t="shared" si="2"/>
        <v>107323.38025515452</v>
      </c>
      <c r="Z11" s="58">
        <v>11290.261451319977</v>
      </c>
      <c r="AA11" s="58">
        <v>96033.11880383454</v>
      </c>
      <c r="AC11" s="73">
        <v>10279.999999999993</v>
      </c>
      <c r="AD11" s="73">
        <v>87440</v>
      </c>
      <c r="AO11">
        <v>14.894723151844975</v>
      </c>
    </row>
    <row r="12" spans="1:41" ht="15" customHeight="1">
      <c r="A12" s="5">
        <v>5</v>
      </c>
      <c r="B12" s="6" t="s">
        <v>25</v>
      </c>
      <c r="C12" s="85"/>
      <c r="D12" s="36">
        <f>'Anne-6'!D13+'Anne-7'!F13+'Anne-8'!D13</f>
        <v>0</v>
      </c>
      <c r="E12" s="56"/>
      <c r="F12" s="36">
        <f t="shared" si="3"/>
        <v>0</v>
      </c>
      <c r="G12" s="8">
        <f>'Anne-6'!G13+'Anne-8'!H13</f>
        <v>0</v>
      </c>
      <c r="H12" s="36">
        <f>'Anne-6'!S13+'Anne-7'!I13+'Anne-8'!I13</f>
        <v>0</v>
      </c>
      <c r="I12" s="36">
        <f>'Anne-6'!I13+'Anne-8'!M13</f>
        <v>0</v>
      </c>
      <c r="J12" s="36"/>
      <c r="K12" s="36"/>
      <c r="L12" s="8">
        <f>'Anne-8'!J13+'Anne-7'!J13</f>
        <v>0</v>
      </c>
      <c r="M12" s="36">
        <f>'Anne-6'!N13</f>
        <v>0</v>
      </c>
      <c r="N12" s="36">
        <f>'Anne-6'!K13</f>
        <v>0</v>
      </c>
      <c r="O12" s="36">
        <f>'Anne-6'!V13</f>
        <v>0</v>
      </c>
      <c r="P12" s="36">
        <f>'Anne-6'!W13</f>
        <v>0</v>
      </c>
      <c r="Q12" s="36">
        <f>+'Anne-7'!L13+'Anne-8'!L13</f>
        <v>0</v>
      </c>
      <c r="R12" s="36"/>
      <c r="S12" s="36"/>
      <c r="T12" s="36">
        <f t="shared" si="1"/>
        <v>0</v>
      </c>
      <c r="U12" s="36">
        <f t="shared" si="0"/>
        <v>0</v>
      </c>
      <c r="V12" s="139"/>
      <c r="W12" s="57" t="e">
        <f t="shared" si="4"/>
        <v>#DIV/0!</v>
      </c>
      <c r="X12" s="59"/>
      <c r="Y12" s="36">
        <f t="shared" si="2"/>
        <v>26296.611412715636</v>
      </c>
      <c r="Z12" s="58">
        <v>6070.616865001551</v>
      </c>
      <c r="AA12" s="58">
        <v>20225.994547714086</v>
      </c>
      <c r="AC12" s="73">
        <v>5599.999999999996</v>
      </c>
      <c r="AD12" s="73">
        <v>18657.999999999985</v>
      </c>
      <c r="AO12">
        <v>22.46874083820653</v>
      </c>
    </row>
    <row r="13" spans="1:41" ht="15">
      <c r="A13" s="5">
        <v>6</v>
      </c>
      <c r="B13" s="6" t="s">
        <v>26</v>
      </c>
      <c r="C13" s="85">
        <v>5</v>
      </c>
      <c r="D13" s="36">
        <f>'Anne-6'!D14+'Anne-7'!F14+'Anne-8'!D14</f>
        <v>5829628</v>
      </c>
      <c r="E13" s="56"/>
      <c r="F13" s="36">
        <f t="shared" si="3"/>
        <v>5829628</v>
      </c>
      <c r="G13" s="84">
        <f>'Anne-6'!G14+'Anne-8'!H14</f>
        <v>7038899</v>
      </c>
      <c r="H13" s="84">
        <f>'Anne-6'!S14+'Anne-7'!I14+'Anne-8'!I14</f>
        <v>6824095</v>
      </c>
      <c r="I13" s="84">
        <f>'Anne-6'!I14+'Anne-8'!M14</f>
        <v>15811356</v>
      </c>
      <c r="J13" s="36">
        <f>I13-D13</f>
        <v>9981728</v>
      </c>
      <c r="K13" s="105">
        <f>J13/D13</f>
        <v>1.7122409869034525</v>
      </c>
      <c r="L13" s="8">
        <f>'Anne-8'!J14+'Anne-7'!J14</f>
        <v>3025361</v>
      </c>
      <c r="M13" s="84">
        <f>'Anne-6'!N14</f>
        <v>8226195</v>
      </c>
      <c r="N13" s="36">
        <f>'Anne-6'!K14</f>
        <v>294655</v>
      </c>
      <c r="O13" s="36">
        <f>'Anne-6'!V14</f>
        <v>4650839</v>
      </c>
      <c r="P13" s="36">
        <f>'Anne-6'!W14</f>
        <v>618785</v>
      </c>
      <c r="Q13" s="36">
        <f>+'Anne-7'!L14+'Anne-8'!L14</f>
        <v>224103</v>
      </c>
      <c r="R13" s="36"/>
      <c r="S13" s="36"/>
      <c r="T13" s="36">
        <f t="shared" si="1"/>
        <v>46714288</v>
      </c>
      <c r="U13" s="36">
        <f t="shared" si="0"/>
        <v>52543916</v>
      </c>
      <c r="V13" s="139">
        <f>D13/U13*100</f>
        <v>11.094772608878257</v>
      </c>
      <c r="W13" s="57">
        <f t="shared" si="4"/>
        <v>0.8413613689252291</v>
      </c>
      <c r="X13" s="59">
        <f t="shared" si="5"/>
        <v>62451.06792473797</v>
      </c>
      <c r="Y13" s="36">
        <f t="shared" si="2"/>
        <v>62451.06792473797</v>
      </c>
      <c r="Z13" s="58">
        <v>25177.69397287655</v>
      </c>
      <c r="AA13" s="58">
        <v>37273.37395186142</v>
      </c>
      <c r="AC13" s="73">
        <v>24045.999999999985</v>
      </c>
      <c r="AD13" s="73">
        <v>35597.99999999997</v>
      </c>
      <c r="AO13">
        <v>30.493285040347402</v>
      </c>
    </row>
    <row r="14" spans="1:41" ht="15">
      <c r="A14" s="5">
        <v>7</v>
      </c>
      <c r="B14" s="6" t="s">
        <v>27</v>
      </c>
      <c r="C14" s="85">
        <v>3</v>
      </c>
      <c r="D14" s="36">
        <f>'Anne-6'!D15+'Anne-7'!F15+'Anne-8'!D15</f>
        <v>3562253</v>
      </c>
      <c r="E14" s="56"/>
      <c r="F14" s="36">
        <f t="shared" si="3"/>
        <v>3562253</v>
      </c>
      <c r="G14" s="8">
        <f>'Anne-6'!G15+'Anne-8'!H15</f>
        <v>2284643</v>
      </c>
      <c r="H14" s="8">
        <f>'Anne-6'!S15+'Anne-7'!I15+'Anne-8'!I15</f>
        <v>2132723</v>
      </c>
      <c r="I14" s="84">
        <f>'Anne-6'!I15+'Anne-8'!M15</f>
        <v>4460102</v>
      </c>
      <c r="J14" s="36"/>
      <c r="K14" s="36"/>
      <c r="L14" s="8">
        <f>'Anne-8'!J15+'Anne-7'!J15</f>
        <v>2695223</v>
      </c>
      <c r="M14" s="84">
        <f>'Anne-6'!N15</f>
        <v>3614670</v>
      </c>
      <c r="N14" s="36">
        <f>'Anne-6'!K15</f>
        <v>185758</v>
      </c>
      <c r="O14" s="36">
        <f>'Anne-6'!V15</f>
        <v>405</v>
      </c>
      <c r="P14" s="36">
        <f>'Anne-6'!W15</f>
        <v>794797</v>
      </c>
      <c r="Q14" s="36">
        <f>+'Anne-7'!L15+'Anne-8'!L15</f>
        <v>147716</v>
      </c>
      <c r="R14" s="36"/>
      <c r="S14" s="36"/>
      <c r="T14" s="36">
        <f t="shared" si="1"/>
        <v>16316037</v>
      </c>
      <c r="U14" s="36">
        <f t="shared" si="0"/>
        <v>19878290</v>
      </c>
      <c r="V14" s="139">
        <f>D14/U14*100</f>
        <v>17.92031910189458</v>
      </c>
      <c r="W14" s="57">
        <f t="shared" si="4"/>
        <v>0.7649548854805649</v>
      </c>
      <c r="X14" s="59">
        <f t="shared" si="5"/>
        <v>25986.225302047624</v>
      </c>
      <c r="Y14" s="36">
        <f t="shared" si="2"/>
        <v>25986.225302047624</v>
      </c>
      <c r="Z14" s="58">
        <v>8740.050461272815</v>
      </c>
      <c r="AA14" s="58">
        <v>17246.17484077481</v>
      </c>
      <c r="AC14" s="73">
        <v>8555.999999999993</v>
      </c>
      <c r="AD14" s="73">
        <v>16883</v>
      </c>
      <c r="AO14">
        <v>20.876024789608948</v>
      </c>
    </row>
    <row r="15" spans="1:41" s="388" customFormat="1" ht="15">
      <c r="A15" s="383">
        <v>8</v>
      </c>
      <c r="B15" s="384" t="s">
        <v>28</v>
      </c>
      <c r="C15" s="383">
        <v>2</v>
      </c>
      <c r="D15" s="96">
        <f>'Anne-6'!D16+'Anne-7'!F16+'Anne-8'!D16</f>
        <v>1884645</v>
      </c>
      <c r="E15" s="390"/>
      <c r="F15" s="96">
        <f t="shared" si="3"/>
        <v>1884645</v>
      </c>
      <c r="G15" s="93">
        <f>'Anne-6'!G16+'Anne-8'!H16</f>
        <v>1914645</v>
      </c>
      <c r="H15" s="70">
        <f>'Anne-6'!S16+'Anne-7'!I16+'Anne-8'!I16</f>
        <v>1471304</v>
      </c>
      <c r="I15" s="36">
        <f>'Anne-6'!I16+'Anne-8'!M16</f>
        <v>476232</v>
      </c>
      <c r="J15" s="96"/>
      <c r="K15" s="96"/>
      <c r="L15" s="70">
        <f>'Anne-8'!J16+'Anne-7'!J16</f>
        <v>192620</v>
      </c>
      <c r="M15" s="96">
        <f>'Anne-6'!N16</f>
        <v>448972</v>
      </c>
      <c r="N15" s="96">
        <f>'Anne-6'!K16</f>
        <v>699378</v>
      </c>
      <c r="O15" s="96">
        <f>'Anne-6'!V16</f>
        <v>143</v>
      </c>
      <c r="P15" s="96">
        <f>'Anne-6'!W16</f>
        <v>0</v>
      </c>
      <c r="Q15" s="96">
        <f>+'Anne-7'!L16+'Anne-8'!L16</f>
        <v>71</v>
      </c>
      <c r="R15" s="96"/>
      <c r="S15" s="96"/>
      <c r="T15" s="96">
        <f t="shared" si="1"/>
        <v>5203365</v>
      </c>
      <c r="U15" s="96">
        <f t="shared" si="0"/>
        <v>7088010</v>
      </c>
      <c r="V15" s="391">
        <f>D15/U15*100</f>
        <v>26.58919781433717</v>
      </c>
      <c r="W15" s="392">
        <f t="shared" si="4"/>
        <v>1.020765248248382</v>
      </c>
      <c r="X15" s="393">
        <f t="shared" si="5"/>
        <v>6943.819856879846</v>
      </c>
      <c r="Y15" s="96">
        <f t="shared" si="2"/>
        <v>6943.819856879846</v>
      </c>
      <c r="Z15" s="86">
        <v>766.6516844781223</v>
      </c>
      <c r="AA15" s="86">
        <v>6177.1681724017235</v>
      </c>
      <c r="AC15" s="394">
        <v>750.0000000000005</v>
      </c>
      <c r="AD15" s="394">
        <v>6042.999999999996</v>
      </c>
      <c r="AO15" s="388">
        <v>15.143006936224735</v>
      </c>
    </row>
    <row r="16" spans="1:41" ht="15">
      <c r="A16" s="5">
        <v>9</v>
      </c>
      <c r="B16" s="6" t="s">
        <v>29</v>
      </c>
      <c r="C16" s="85">
        <v>3</v>
      </c>
      <c r="D16" s="36">
        <f>'Anne-6'!D17+'Anne-7'!F17+'Anne-8'!D17</f>
        <v>1360406</v>
      </c>
      <c r="E16" s="56"/>
      <c r="F16" s="36">
        <f t="shared" si="3"/>
        <v>1360406</v>
      </c>
      <c r="G16" s="84">
        <f>'Anne-6'!G17+'Anne-8'!H17</f>
        <v>2320283</v>
      </c>
      <c r="H16" s="36">
        <f>'Anne-6'!S17+'Anne-7'!I17+'Anne-8'!I17</f>
        <v>606341</v>
      </c>
      <c r="I16" s="36">
        <f>'Anne-6'!I17+'Anne-8'!M17</f>
        <v>610925</v>
      </c>
      <c r="J16" s="36"/>
      <c r="K16" s="36"/>
      <c r="L16" s="8">
        <f>'Anne-8'!J17+'Anne-7'!J17</f>
        <v>0</v>
      </c>
      <c r="M16" s="36">
        <f>'Anne-6'!N17</f>
        <v>208269</v>
      </c>
      <c r="N16" s="84">
        <f>'Anne-6'!K17</f>
        <v>1808200</v>
      </c>
      <c r="O16" s="36">
        <f>'Anne-6'!V17</f>
        <v>312</v>
      </c>
      <c r="P16" s="36">
        <f>'Anne-6'!W17</f>
        <v>0</v>
      </c>
      <c r="Q16" s="36">
        <f>+'Anne-7'!L17+'Anne-8'!L17</f>
        <v>21</v>
      </c>
      <c r="R16" s="36"/>
      <c r="S16" s="36"/>
      <c r="T16" s="36">
        <f t="shared" si="1"/>
        <v>5554351</v>
      </c>
      <c r="U16" s="36">
        <f t="shared" si="0"/>
        <v>6914757</v>
      </c>
      <c r="V16" s="139">
        <f>D16/U16*100</f>
        <v>19.673952389071662</v>
      </c>
      <c r="W16" s="57">
        <f t="shared" si="4"/>
        <v>0.5341706933204443</v>
      </c>
      <c r="X16" s="59">
        <f t="shared" si="5"/>
        <v>12944.845320916733</v>
      </c>
      <c r="Y16" s="36">
        <f t="shared" si="2"/>
        <v>12944.845320916733</v>
      </c>
      <c r="Z16" s="58">
        <v>3472.064246769187</v>
      </c>
      <c r="AA16" s="58">
        <v>9472.781074147546</v>
      </c>
      <c r="AC16" s="73">
        <v>3143.000000000002</v>
      </c>
      <c r="AD16" s="73">
        <v>8574.999999999993</v>
      </c>
      <c r="AO16">
        <v>27.14755839727522</v>
      </c>
    </row>
    <row r="17" spans="1:41" ht="15" customHeight="1">
      <c r="A17" s="5">
        <v>10</v>
      </c>
      <c r="B17" s="6" t="s">
        <v>30</v>
      </c>
      <c r="C17" s="85"/>
      <c r="D17" s="36">
        <f>'Anne-6'!D18+'Anne-7'!F18+'Anne-8'!D18</f>
        <v>0</v>
      </c>
      <c r="E17" s="56"/>
      <c r="F17" s="36">
        <f t="shared" si="3"/>
        <v>0</v>
      </c>
      <c r="G17" s="8">
        <f>'Anne-6'!G18+'Anne-8'!H18</f>
        <v>0</v>
      </c>
      <c r="H17" s="36">
        <f>'Anne-6'!S18+'Anne-7'!I18+'Anne-8'!I18</f>
        <v>0</v>
      </c>
      <c r="I17" s="36">
        <f>'Anne-6'!I18+'Anne-8'!M18</f>
        <v>0</v>
      </c>
      <c r="J17" s="36"/>
      <c r="K17" s="36"/>
      <c r="L17" s="8">
        <f>'Anne-8'!J18+'Anne-7'!J18</f>
        <v>0</v>
      </c>
      <c r="M17" s="36">
        <f>'Anne-6'!N18</f>
        <v>0</v>
      </c>
      <c r="N17" s="36">
        <f>'Anne-6'!K18</f>
        <v>0</v>
      </c>
      <c r="O17" s="36">
        <f>'Anne-6'!V18</f>
        <v>0</v>
      </c>
      <c r="P17" s="36">
        <f>'Anne-6'!W18</f>
        <v>0</v>
      </c>
      <c r="Q17" s="36">
        <f>+'Anne-7'!L18+'Anne-8'!L18</f>
        <v>0</v>
      </c>
      <c r="R17" s="36"/>
      <c r="S17" s="36"/>
      <c r="T17" s="36">
        <f t="shared" si="1"/>
        <v>0</v>
      </c>
      <c r="U17" s="36">
        <f t="shared" si="0"/>
        <v>0</v>
      </c>
      <c r="V17" s="139"/>
      <c r="W17" s="57" t="e">
        <f t="shared" si="4"/>
        <v>#DIV/0!</v>
      </c>
      <c r="X17" s="59"/>
      <c r="Y17" s="36">
        <f t="shared" si="2"/>
        <v>33928.361073951455</v>
      </c>
      <c r="Z17" s="58">
        <v>7902.099856128122</v>
      </c>
      <c r="AA17" s="58">
        <v>26026.261217823336</v>
      </c>
      <c r="AC17" s="73">
        <v>7330.000000000004</v>
      </c>
      <c r="AD17" s="73">
        <v>24141.999999999985</v>
      </c>
      <c r="AO17">
        <v>16.153439471362844</v>
      </c>
    </row>
    <row r="18" spans="1:41" ht="15">
      <c r="A18" s="5">
        <v>11</v>
      </c>
      <c r="B18" s="6" t="s">
        <v>31</v>
      </c>
      <c r="C18" s="85">
        <v>2</v>
      </c>
      <c r="D18" s="36">
        <f>'Anne-6'!D19+'Anne-7'!F19+'Anne-8'!D19</f>
        <v>8721799</v>
      </c>
      <c r="E18" s="56"/>
      <c r="F18" s="36">
        <f t="shared" si="3"/>
        <v>8721799</v>
      </c>
      <c r="G18" s="84">
        <f>'Anne-6'!G19+'Anne-8'!H19</f>
        <v>16497290</v>
      </c>
      <c r="H18" s="8">
        <f>'Anne-6'!S19+'Anne-7'!I19+'Anne-8'!I19</f>
        <v>6535691</v>
      </c>
      <c r="I18" s="36">
        <f>'Anne-6'!I19+'Anne-8'!M19</f>
        <v>6581891</v>
      </c>
      <c r="J18" s="36">
        <f>G18-D18</f>
        <v>7775491</v>
      </c>
      <c r="K18" s="105">
        <f>J18/D18</f>
        <v>0.8915008245431935</v>
      </c>
      <c r="L18" s="8">
        <f>'Anne-8'!J19+'Anne-7'!J19</f>
        <v>6160005</v>
      </c>
      <c r="M18" s="36">
        <f>'Anne-6'!N19</f>
        <v>6070121</v>
      </c>
      <c r="N18" s="36">
        <f>'Anne-6'!K19</f>
        <v>1563895</v>
      </c>
      <c r="O18" s="36">
        <f>'Anne-6'!V19</f>
        <v>686045</v>
      </c>
      <c r="P18" s="36">
        <f>'Anne-6'!W19</f>
        <v>0</v>
      </c>
      <c r="Q18" s="36">
        <f>+'Anne-7'!L19+'Anne-8'!L19</f>
        <v>2137127</v>
      </c>
      <c r="R18" s="36"/>
      <c r="S18" s="36"/>
      <c r="T18" s="36">
        <f t="shared" si="1"/>
        <v>46232065</v>
      </c>
      <c r="U18" s="36">
        <f t="shared" si="0"/>
        <v>54953864</v>
      </c>
      <c r="V18" s="139">
        <f>D18/U18*100</f>
        <v>15.871129644314003</v>
      </c>
      <c r="W18" s="57">
        <f t="shared" si="4"/>
        <v>0.8833471473796254</v>
      </c>
      <c r="X18" s="59">
        <f t="shared" si="5"/>
        <v>62210.948620840616</v>
      </c>
      <c r="Y18" s="36">
        <f t="shared" si="2"/>
        <v>62210.948620840616</v>
      </c>
      <c r="Z18" s="58">
        <v>23136.329164464816</v>
      </c>
      <c r="AA18" s="58">
        <v>39074.6194563758</v>
      </c>
      <c r="AC18" s="73">
        <v>22097.999999999985</v>
      </c>
      <c r="AD18" s="73">
        <v>37320.99999999997</v>
      </c>
      <c r="AO18">
        <v>16.530629255472277</v>
      </c>
    </row>
    <row r="19" spans="1:41" ht="15">
      <c r="A19" s="5">
        <v>12</v>
      </c>
      <c r="B19" s="6" t="s">
        <v>32</v>
      </c>
      <c r="C19" s="104">
        <v>1</v>
      </c>
      <c r="D19" s="36">
        <f>'Anne-6'!D20+'Anne-7'!F20+'Anne-8'!D20</f>
        <v>10629614</v>
      </c>
      <c r="E19" s="56"/>
      <c r="F19" s="36">
        <f t="shared" si="3"/>
        <v>10629614</v>
      </c>
      <c r="G19" s="8">
        <f>'Anne-6'!G20+'Anne-8'!H20</f>
        <v>3520685</v>
      </c>
      <c r="H19" s="36">
        <f>'Anne-6'!S20+'Anne-7'!I20+'Anne-8'!I20</f>
        <v>2940840</v>
      </c>
      <c r="I19" s="36">
        <f>'Anne-6'!I20+'Anne-8'!M20</f>
        <v>6099518</v>
      </c>
      <c r="J19" s="36"/>
      <c r="K19" s="36"/>
      <c r="L19" s="8">
        <f>'Anne-8'!J20+'Anne-7'!J20</f>
        <v>1908414</v>
      </c>
      <c r="M19" s="36">
        <f>'Anne-6'!N20</f>
        <v>7869341</v>
      </c>
      <c r="N19" s="36">
        <f>'Anne-6'!K20</f>
        <v>354883</v>
      </c>
      <c r="O19" s="36">
        <f>'Anne-6'!V20</f>
        <v>263745</v>
      </c>
      <c r="P19" s="36">
        <f>'Anne-6'!W20</f>
        <v>0</v>
      </c>
      <c r="Q19" s="36">
        <f>+'Anne-7'!L20+'Anne-8'!L20</f>
        <v>501620</v>
      </c>
      <c r="R19" s="36"/>
      <c r="S19" s="36"/>
      <c r="T19" s="36">
        <f t="shared" si="1"/>
        <v>23459046</v>
      </c>
      <c r="U19" s="36">
        <f t="shared" si="0"/>
        <v>34088660</v>
      </c>
      <c r="V19" s="139">
        <f>D19/U19*100</f>
        <v>31.182258264185215</v>
      </c>
      <c r="W19" s="57">
        <f t="shared" si="4"/>
        <v>1.0200336157517438</v>
      </c>
      <c r="X19" s="59">
        <f t="shared" si="5"/>
        <v>33419.15351963902</v>
      </c>
      <c r="Y19" s="36">
        <f t="shared" si="2"/>
        <v>33419.15351963902</v>
      </c>
      <c r="Z19" s="58">
        <v>8539.303322911312</v>
      </c>
      <c r="AA19" s="58">
        <v>24879.850196727708</v>
      </c>
      <c r="AC19" s="73">
        <v>8850.999999999993</v>
      </c>
      <c r="AD19" s="73">
        <v>25788.000000000015</v>
      </c>
      <c r="AO19">
        <v>24.81916077826601</v>
      </c>
    </row>
    <row r="20" spans="1:41" ht="15">
      <c r="A20" s="5">
        <v>13</v>
      </c>
      <c r="B20" s="6" t="s">
        <v>33</v>
      </c>
      <c r="C20" s="85">
        <v>4</v>
      </c>
      <c r="D20" s="36">
        <f>'Anne-6'!D21+'Anne-7'!F21+'Anne-8'!D21</f>
        <v>5975911</v>
      </c>
      <c r="E20" s="56"/>
      <c r="F20" s="36">
        <f t="shared" si="3"/>
        <v>5975911</v>
      </c>
      <c r="G20" s="84">
        <f>'Anne-6'!G21+'Anne-8'!H21</f>
        <v>10038678</v>
      </c>
      <c r="H20" s="84">
        <f>'Anne-6'!S21+'Anne-7'!I21+'Anne-8'!I21</f>
        <v>11613523</v>
      </c>
      <c r="I20" s="36">
        <f>'Anne-6'!I21+'Anne-8'!M21</f>
        <v>3966951</v>
      </c>
      <c r="J20" s="36">
        <f>H20-D20</f>
        <v>5637612</v>
      </c>
      <c r="K20" s="105">
        <f>J20/D20</f>
        <v>0.9433895518189611</v>
      </c>
      <c r="L20" s="8">
        <f>'Anne-8'!J21+'Anne-7'!J21</f>
        <v>3912375</v>
      </c>
      <c r="M20" s="84">
        <f>'Anne-6'!N21</f>
        <v>14991810</v>
      </c>
      <c r="N20" s="36">
        <f>'Anne-6'!K21</f>
        <v>653287</v>
      </c>
      <c r="O20" s="36">
        <f>'Anne-6'!V21</f>
        <v>1255</v>
      </c>
      <c r="P20" s="36">
        <f>'Anne-6'!W21</f>
        <v>806625</v>
      </c>
      <c r="Q20" s="36">
        <f>+'Anne-7'!L21+'Anne-8'!L21</f>
        <v>3153</v>
      </c>
      <c r="R20" s="36"/>
      <c r="S20" s="36"/>
      <c r="T20" s="36">
        <f t="shared" si="1"/>
        <v>45987657</v>
      </c>
      <c r="U20" s="36">
        <f t="shared" si="0"/>
        <v>51963568</v>
      </c>
      <c r="V20" s="139">
        <f>D20/U20*100</f>
        <v>11.500193751129638</v>
      </c>
      <c r="W20" s="57">
        <f t="shared" si="4"/>
        <v>0.5157301126147027</v>
      </c>
      <c r="X20" s="59">
        <f>Y20+Y12</f>
        <v>100757.28899472175</v>
      </c>
      <c r="Y20" s="36">
        <f>Z20+AA20</f>
        <v>74460.67758200612</v>
      </c>
      <c r="Z20" s="58">
        <v>20611.788118476106</v>
      </c>
      <c r="AA20" s="58">
        <v>53848.88946353002</v>
      </c>
      <c r="AC20" s="73">
        <v>19986.000000000015</v>
      </c>
      <c r="AD20" s="73">
        <v>52213.99999999997</v>
      </c>
      <c r="AO20">
        <v>19.589158143343912</v>
      </c>
    </row>
    <row r="21" spans="1:41" ht="15">
      <c r="A21" s="5">
        <v>14</v>
      </c>
      <c r="B21" s="6" t="s">
        <v>34</v>
      </c>
      <c r="C21" s="85">
        <v>4</v>
      </c>
      <c r="D21" s="36">
        <f>'Anne-6'!D22+'Anne-7'!F22+'Anne-8'!D22</f>
        <v>8834954</v>
      </c>
      <c r="E21" s="56"/>
      <c r="F21" s="36">
        <f t="shared" si="3"/>
        <v>8834954</v>
      </c>
      <c r="G21" s="84">
        <f>'Anne-6'!G22+'Anne-8'!H22</f>
        <v>10000442</v>
      </c>
      <c r="H21" s="8">
        <f>'Anne-6'!S22+'Anne-7'!I22+'Anne-8'!I22</f>
        <v>7833339</v>
      </c>
      <c r="I21" s="84">
        <f>'Anne-6'!I22+'Anne-8'!M22</f>
        <v>13076871</v>
      </c>
      <c r="J21" s="36"/>
      <c r="K21" s="36"/>
      <c r="L21" s="8">
        <f>'Anne-8'!J22+'Anne-7'!J22</f>
        <v>6586455</v>
      </c>
      <c r="M21" s="84">
        <f>'Anne-6'!N22</f>
        <v>15840410</v>
      </c>
      <c r="N21" s="36">
        <f>'Anne-6'!K22</f>
        <v>1134782</v>
      </c>
      <c r="O21" s="36">
        <f>'Anne-6'!V22</f>
        <v>5502934</v>
      </c>
      <c r="P21" s="36">
        <f>'Anne-6'!W22</f>
        <v>0</v>
      </c>
      <c r="Q21" s="36">
        <f>+'Anne-7'!L22+'Anne-8'!L22</f>
        <v>651414</v>
      </c>
      <c r="R21" s="36"/>
      <c r="S21" s="36"/>
      <c r="T21" s="36">
        <f t="shared" si="1"/>
        <v>60626647</v>
      </c>
      <c r="U21" s="36">
        <f t="shared" si="0"/>
        <v>69461601</v>
      </c>
      <c r="V21" s="139">
        <f>D21/U21*100</f>
        <v>12.719191427793323</v>
      </c>
      <c r="W21" s="57">
        <f t="shared" si="4"/>
        <v>0.7569693645134631</v>
      </c>
      <c r="X21" s="59">
        <f t="shared" si="5"/>
        <v>91762.76380041611</v>
      </c>
      <c r="Y21" s="36">
        <f t="shared" si="2"/>
        <v>91762.76380041611</v>
      </c>
      <c r="Z21" s="58">
        <v>31623.03480300652</v>
      </c>
      <c r="AA21" s="58">
        <v>60139.7289974096</v>
      </c>
      <c r="AC21" s="73">
        <v>32229.454713109284</v>
      </c>
      <c r="AD21" s="73">
        <v>61292.99999999997</v>
      </c>
      <c r="AO21">
        <v>22.792939248855358</v>
      </c>
    </row>
    <row r="22" spans="1:41" ht="15">
      <c r="A22" s="5">
        <v>15</v>
      </c>
      <c r="B22" s="6" t="s">
        <v>35</v>
      </c>
      <c r="C22" s="85">
        <v>3</v>
      </c>
      <c r="D22" s="36">
        <f>'Anne-6'!D23+'Anne-7'!F23+'Anne-8'!D23</f>
        <v>1950439</v>
      </c>
      <c r="E22" s="56"/>
      <c r="F22" s="36">
        <f t="shared" si="3"/>
        <v>1950439</v>
      </c>
      <c r="G22" s="84">
        <f>'Anne-6'!G23+'Anne-8'!H23</f>
        <v>2610008</v>
      </c>
      <c r="H22" s="36">
        <f>'Anne-6'!S23+'Anne-7'!I23+'Anne-8'!I23</f>
        <v>836595</v>
      </c>
      <c r="I22" s="36">
        <f>'Anne-6'!I23+'Anne-8'!M23</f>
        <v>939346</v>
      </c>
      <c r="J22" s="36"/>
      <c r="K22" s="36"/>
      <c r="L22" s="8">
        <f>'Anne-8'!J23+'Anne-7'!J23</f>
        <v>0</v>
      </c>
      <c r="M22" s="36">
        <f>'Anne-6'!N23</f>
        <v>267417</v>
      </c>
      <c r="N22" s="84">
        <f>'Anne-6'!K23</f>
        <v>2338464</v>
      </c>
      <c r="O22" s="36">
        <f>'Anne-6'!V23</f>
        <v>90</v>
      </c>
      <c r="P22" s="36">
        <f>'Anne-6'!W23</f>
        <v>0</v>
      </c>
      <c r="Q22" s="36">
        <f>+'Anne-7'!L23+'Anne-8'!L23</f>
        <v>151</v>
      </c>
      <c r="R22" s="36"/>
      <c r="S22" s="36"/>
      <c r="T22" s="36">
        <f t="shared" si="1"/>
        <v>6992071</v>
      </c>
      <c r="U22" s="36">
        <f t="shared" si="0"/>
        <v>8942510</v>
      </c>
      <c r="V22" s="139">
        <f>D22/U22*100</f>
        <v>21.810867418655388</v>
      </c>
      <c r="W22" s="57">
        <f t="shared" si="4"/>
        <v>0.6338570149015915</v>
      </c>
      <c r="X22" s="59">
        <f>Y22+Y23</f>
        <v>14108.087139160803</v>
      </c>
      <c r="Y22" s="36">
        <f t="shared" si="2"/>
        <v>7932.307746917774</v>
      </c>
      <c r="Z22" s="58">
        <v>1929.1249747717438</v>
      </c>
      <c r="AA22" s="58">
        <v>6003.18277214603</v>
      </c>
      <c r="AB22" s="92"/>
      <c r="AC22" s="73">
        <v>1760.999999999999</v>
      </c>
      <c r="AD22" s="73">
        <v>5479.999999999996</v>
      </c>
      <c r="AO22">
        <v>16.756790661203468</v>
      </c>
    </row>
    <row r="23" spans="1:41" ht="15" customHeight="1">
      <c r="A23" s="5">
        <v>16</v>
      </c>
      <c r="B23" s="6" t="s">
        <v>36</v>
      </c>
      <c r="C23" s="104"/>
      <c r="D23" s="36">
        <f>'Anne-6'!D24+'Anne-7'!F24+'Anne-8'!D24</f>
        <v>0</v>
      </c>
      <c r="E23" s="56"/>
      <c r="F23" s="36">
        <f t="shared" si="3"/>
        <v>0</v>
      </c>
      <c r="G23" s="8">
        <f>'Anne-6'!G24+'Anne-8'!H24</f>
        <v>0</v>
      </c>
      <c r="H23" s="36">
        <f>'Anne-6'!S24+'Anne-7'!I24+'Anne-8'!I24</f>
        <v>0</v>
      </c>
      <c r="I23" s="36">
        <f>'Anne-6'!I24+'Anne-8'!M24</f>
        <v>0</v>
      </c>
      <c r="J23" s="36"/>
      <c r="K23" s="36"/>
      <c r="L23" s="8">
        <f>'Anne-8'!J24+'Anne-7'!J24</f>
        <v>0</v>
      </c>
      <c r="M23" s="36">
        <f>'Anne-6'!N24</f>
        <v>0</v>
      </c>
      <c r="N23" s="36">
        <f>'Anne-6'!K24</f>
        <v>0</v>
      </c>
      <c r="O23" s="36">
        <f>'Anne-6'!V24</f>
        <v>0</v>
      </c>
      <c r="P23" s="36">
        <f>'Anne-6'!W24</f>
        <v>0</v>
      </c>
      <c r="Q23" s="36">
        <f>+'Anne-7'!L24+'Anne-8'!L24</f>
        <v>0</v>
      </c>
      <c r="R23" s="36"/>
      <c r="S23" s="36"/>
      <c r="T23" s="36">
        <f t="shared" si="1"/>
        <v>0</v>
      </c>
      <c r="U23" s="36">
        <f t="shared" si="0"/>
        <v>0</v>
      </c>
      <c r="V23" s="139"/>
      <c r="W23" s="57" t="e">
        <f t="shared" si="4"/>
        <v>#DIV/0!</v>
      </c>
      <c r="X23" s="59"/>
      <c r="Y23" s="36">
        <f t="shared" si="2"/>
        <v>6175.779392243029</v>
      </c>
      <c r="Z23" s="58">
        <v>1468.294410144326</v>
      </c>
      <c r="AA23" s="58">
        <v>4707.484982098703</v>
      </c>
      <c r="AC23" s="73">
        <v>1412.000000000001</v>
      </c>
      <c r="AD23" s="73">
        <v>4527</v>
      </c>
      <c r="AO23">
        <v>14.95800929070746</v>
      </c>
    </row>
    <row r="24" spans="1:41" ht="15">
      <c r="A24" s="5">
        <v>17</v>
      </c>
      <c r="B24" s="6" t="s">
        <v>37</v>
      </c>
      <c r="C24" s="85">
        <v>2</v>
      </c>
      <c r="D24" s="36">
        <f>'Anne-6'!D25+'Anne-7'!F25+'Anne-8'!D25</f>
        <v>4856162</v>
      </c>
      <c r="E24" s="56"/>
      <c r="F24" s="36">
        <f t="shared" si="3"/>
        <v>4856162</v>
      </c>
      <c r="G24" s="84">
        <f>'Anne-6'!G25+'Anne-8'!H25</f>
        <v>6756065</v>
      </c>
      <c r="H24" s="8">
        <f>'Anne-6'!S25+'Anne-7'!I25+'Anne-8'!I25</f>
        <v>3667710</v>
      </c>
      <c r="I24" s="36">
        <f>'Anne-6'!I25+'Anne-8'!M25</f>
        <v>2875562</v>
      </c>
      <c r="J24" s="36"/>
      <c r="K24" s="36"/>
      <c r="L24" s="8">
        <f>'Anne-8'!J25+'Anne-7'!J25</f>
        <v>2149566</v>
      </c>
      <c r="M24" s="36">
        <f>'Anne-6'!N25</f>
        <v>963793</v>
      </c>
      <c r="N24" s="36">
        <f>'Anne-6'!K25</f>
        <v>2893967</v>
      </c>
      <c r="O24" s="36">
        <f>'Anne-6'!V25</f>
        <v>701887</v>
      </c>
      <c r="P24" s="36">
        <f>'Anne-6'!W25</f>
        <v>0</v>
      </c>
      <c r="Q24" s="36">
        <f>+'Anne-7'!L25+'Anne-8'!L25</f>
        <v>787</v>
      </c>
      <c r="R24" s="36"/>
      <c r="S24" s="36"/>
      <c r="T24" s="36">
        <f t="shared" si="1"/>
        <v>20009337</v>
      </c>
      <c r="U24" s="36">
        <f t="shared" si="0"/>
        <v>24865499</v>
      </c>
      <c r="V24" s="139">
        <f>D24/U24*100</f>
        <v>19.529718667620546</v>
      </c>
      <c r="W24" s="57">
        <f t="shared" si="4"/>
        <v>0.5841700737336656</v>
      </c>
      <c r="X24" s="59">
        <f t="shared" si="5"/>
        <v>42565.51322643868</v>
      </c>
      <c r="Y24" s="36">
        <f t="shared" si="2"/>
        <v>42565.51322643868</v>
      </c>
      <c r="Z24" s="58">
        <v>7136.3824874362845</v>
      </c>
      <c r="AA24" s="58">
        <v>35429.130739002394</v>
      </c>
      <c r="AC24" s="73">
        <v>6831.999999999996</v>
      </c>
      <c r="AD24" s="73">
        <v>33918</v>
      </c>
      <c r="AO24">
        <v>21.103988171760818</v>
      </c>
    </row>
    <row r="25" spans="1:41" ht="15">
      <c r="A25" s="5">
        <v>18</v>
      </c>
      <c r="B25" s="6" t="s">
        <v>38</v>
      </c>
      <c r="C25" s="85">
        <v>3</v>
      </c>
      <c r="D25" s="36">
        <f>'Anne-6'!D26+'Anne-7'!F26+'Anne-8'!D26</f>
        <v>5416687</v>
      </c>
      <c r="E25" s="56"/>
      <c r="F25" s="36">
        <f t="shared" si="3"/>
        <v>5416687</v>
      </c>
      <c r="G25" s="84">
        <f>'Anne-6'!G26+'Anne-8'!H26</f>
        <v>6963477</v>
      </c>
      <c r="H25" s="36">
        <f>'Anne-6'!S26+'Anne-7'!I26+'Anne-8'!I26</f>
        <v>2874255</v>
      </c>
      <c r="I25" s="36">
        <f>'Anne-6'!I26+'Anne-8'!M26</f>
        <v>4329821</v>
      </c>
      <c r="J25" s="36"/>
      <c r="K25" s="36"/>
      <c r="L25" s="8">
        <f>'Anne-8'!J26+'Anne-7'!J26</f>
        <v>2471755</v>
      </c>
      <c r="M25" s="84">
        <f>'Anne-6'!N26</f>
        <v>5565174</v>
      </c>
      <c r="N25" s="36">
        <f>'Anne-6'!K26</f>
        <v>972375</v>
      </c>
      <c r="O25" s="36">
        <f>'Anne-6'!V26</f>
        <v>411</v>
      </c>
      <c r="P25" s="36">
        <f>'Anne-6'!W26</f>
        <v>0</v>
      </c>
      <c r="Q25" s="36">
        <f>+'Anne-7'!L26+'Anne-8'!L26</f>
        <v>1146</v>
      </c>
      <c r="R25" s="36">
        <f>'Anne-7'!K26+'Anne-8'!K26</f>
        <v>1774528</v>
      </c>
      <c r="S25" s="36"/>
      <c r="T25" s="36">
        <f t="shared" si="1"/>
        <v>24952942</v>
      </c>
      <c r="U25" s="36">
        <f t="shared" si="0"/>
        <v>30369629</v>
      </c>
      <c r="V25" s="139">
        <f>D25/U25*100</f>
        <v>17.835868195821554</v>
      </c>
      <c r="W25" s="57">
        <f t="shared" si="4"/>
        <v>1.0408838932542785</v>
      </c>
      <c r="X25" s="59">
        <f>Y25</f>
        <v>29176.769087136767</v>
      </c>
      <c r="Y25" s="36">
        <f t="shared" si="2"/>
        <v>29176.769087136767</v>
      </c>
      <c r="Z25" s="60">
        <v>11997.98929386895</v>
      </c>
      <c r="AA25" s="60">
        <v>17178.77979326782</v>
      </c>
      <c r="AC25" s="73">
        <v>11972.999999999993</v>
      </c>
      <c r="AD25" s="73">
        <v>17143</v>
      </c>
      <c r="AO25">
        <v>15.008714246162974</v>
      </c>
    </row>
    <row r="26" spans="1:41" ht="15">
      <c r="A26" s="5">
        <v>19</v>
      </c>
      <c r="B26" s="6" t="s">
        <v>39</v>
      </c>
      <c r="C26" s="85">
        <v>3</v>
      </c>
      <c r="D26" s="36">
        <f>'Anne-6'!D27+'Anne-7'!F27+'Anne-8'!D27</f>
        <v>6840602</v>
      </c>
      <c r="E26" s="56"/>
      <c r="F26" s="36">
        <f t="shared" si="3"/>
        <v>6840602</v>
      </c>
      <c r="G26" s="84">
        <f>'Anne-6'!G27+'Anne-8'!H27</f>
        <v>14418888</v>
      </c>
      <c r="H26" s="8">
        <f>'Anne-6'!S27+'Anne-7'!I27+'Anne-8'!I27</f>
        <v>5410415</v>
      </c>
      <c r="I26" s="84">
        <f>'Anne-6'!I27+'Anne-8'!M27</f>
        <v>8637772</v>
      </c>
      <c r="J26" s="36">
        <f>G26-D26</f>
        <v>7578286</v>
      </c>
      <c r="K26" s="105">
        <f>J26/D26</f>
        <v>1.107839046914292</v>
      </c>
      <c r="L26" s="8">
        <f>'Anne-8'!J27+'Anne-7'!J27</f>
        <v>2992979</v>
      </c>
      <c r="M26" s="36">
        <f>'Anne-6'!N27</f>
        <v>4674801</v>
      </c>
      <c r="N26" s="36">
        <f>'Anne-6'!K27</f>
        <v>2792442</v>
      </c>
      <c r="O26" s="36">
        <f>'Anne-6'!V27</f>
        <v>1032</v>
      </c>
      <c r="P26" s="36">
        <f>'Anne-6'!W27</f>
        <v>0</v>
      </c>
      <c r="Q26" s="36">
        <f>+'Anne-7'!L27+'Anne-8'!L27</f>
        <v>2239445</v>
      </c>
      <c r="R26" s="36"/>
      <c r="S26" s="36"/>
      <c r="T26" s="36">
        <f t="shared" si="1"/>
        <v>41167774</v>
      </c>
      <c r="U26" s="36">
        <f t="shared" si="0"/>
        <v>48008376</v>
      </c>
      <c r="V26" s="139">
        <f>D26/U26*100</f>
        <v>14.248767756693123</v>
      </c>
      <c r="W26" s="57">
        <f t="shared" si="4"/>
        <v>0.6808046205036522</v>
      </c>
      <c r="X26" s="59">
        <f t="shared" si="5"/>
        <v>70517.11247859026</v>
      </c>
      <c r="Y26" s="36">
        <f t="shared" si="2"/>
        <v>70517.11247859026</v>
      </c>
      <c r="Z26" s="58">
        <v>16857.36368627954</v>
      </c>
      <c r="AA26" s="58">
        <v>53659.748792310726</v>
      </c>
      <c r="AC26" s="73">
        <v>16214.999999999993</v>
      </c>
      <c r="AD26" s="73">
        <v>51615.00000000003</v>
      </c>
      <c r="AF26" s="83"/>
      <c r="AO26">
        <v>12.587224104140947</v>
      </c>
    </row>
    <row r="27" spans="1:41" ht="15">
      <c r="A27" s="5">
        <v>20</v>
      </c>
      <c r="B27" s="6" t="s">
        <v>40</v>
      </c>
      <c r="C27" s="85">
        <v>4</v>
      </c>
      <c r="D27" s="36">
        <f>'Anne-6'!D28+'Anne-7'!F28+'Anne-8'!D28</f>
        <v>9497208</v>
      </c>
      <c r="E27" s="56"/>
      <c r="F27" s="36">
        <f t="shared" si="3"/>
        <v>9497208</v>
      </c>
      <c r="G27" s="84">
        <f>'Anne-6'!G28+'Anne-8'!H28</f>
        <v>9852088</v>
      </c>
      <c r="H27" s="36">
        <f>'Anne-6'!S28+'Anne-7'!I28+'Anne-8'!I28</f>
        <v>5750472</v>
      </c>
      <c r="I27" s="84">
        <f>'Anne-6'!I28+'Anne-8'!M28</f>
        <v>9891464</v>
      </c>
      <c r="J27" s="36"/>
      <c r="K27" s="36"/>
      <c r="L27" s="8">
        <f>'Anne-8'!J28+'Anne-7'!J28</f>
        <v>4110813</v>
      </c>
      <c r="M27" s="36">
        <f>'Anne-6'!N28</f>
        <v>2228730</v>
      </c>
      <c r="N27" s="84">
        <f>'Anne-6'!K28</f>
        <v>17555412</v>
      </c>
      <c r="O27" s="36">
        <f>'Anne-6'!V28</f>
        <v>505180</v>
      </c>
      <c r="P27" s="36">
        <f>'Anne-6'!W28</f>
        <v>0</v>
      </c>
      <c r="Q27" s="36">
        <f>+'Anne-7'!L28+'Anne-8'!L28</f>
        <v>1227697</v>
      </c>
      <c r="R27" s="36"/>
      <c r="S27" s="36"/>
      <c r="T27" s="36">
        <f t="shared" si="1"/>
        <v>51121856</v>
      </c>
      <c r="U27" s="36">
        <f t="shared" si="0"/>
        <v>60619064</v>
      </c>
      <c r="V27" s="139">
        <f>D27/U27*100</f>
        <v>15.667031744337063</v>
      </c>
      <c r="W27" s="57">
        <f t="shared" si="4"/>
        <v>0.9652348280243633</v>
      </c>
      <c r="X27" s="59">
        <f t="shared" si="5"/>
        <v>62802.4002450002</v>
      </c>
      <c r="Y27" s="36">
        <f t="shared" si="2"/>
        <v>62802.4002450002</v>
      </c>
      <c r="Z27" s="58">
        <v>28981.052847317358</v>
      </c>
      <c r="AA27" s="58">
        <v>33821.347397682846</v>
      </c>
      <c r="AC27" s="73">
        <v>28884.322622685115</v>
      </c>
      <c r="AD27" s="73">
        <v>31167.000000000015</v>
      </c>
      <c r="AE27">
        <f>Z27/Z34*AC34</f>
        <v>27981.328781780427</v>
      </c>
      <c r="AG27" s="83">
        <f>AC27-AE27</f>
        <v>902.9938409046881</v>
      </c>
      <c r="AJ27">
        <v>26706.5786431153</v>
      </c>
      <c r="AL27">
        <v>2177.7439795698156</v>
      </c>
      <c r="AO27">
        <v>17.403789555135774</v>
      </c>
    </row>
    <row r="28" spans="1:41" ht="15" customHeight="1">
      <c r="A28" s="5">
        <v>21</v>
      </c>
      <c r="B28" s="6" t="s">
        <v>41</v>
      </c>
      <c r="C28" s="104"/>
      <c r="D28" s="36">
        <f>'Anne-6'!D29+'Anne-7'!F29+'Anne-8'!D29</f>
        <v>0</v>
      </c>
      <c r="E28" s="56"/>
      <c r="F28" s="36">
        <f t="shared" si="3"/>
        <v>0</v>
      </c>
      <c r="G28" s="8">
        <f>'Anne-6'!G29+'Anne-8'!H29</f>
        <v>0</v>
      </c>
      <c r="H28" s="36">
        <f>'Anne-6'!S29+'Anne-7'!I29+'Anne-8'!I29</f>
        <v>0</v>
      </c>
      <c r="I28" s="36">
        <f>'Anne-6'!I29+'Anne-8'!M29</f>
        <v>0</v>
      </c>
      <c r="J28" s="36"/>
      <c r="K28" s="36"/>
      <c r="L28" s="8">
        <f>'Anne-8'!J29+'Anne-7'!J29</f>
        <v>0</v>
      </c>
      <c r="M28" s="36">
        <f>'Anne-6'!N29</f>
        <v>0</v>
      </c>
      <c r="N28" s="36">
        <f>'Anne-6'!K29</f>
        <v>0</v>
      </c>
      <c r="O28" s="36">
        <f>'Anne-6'!V29</f>
        <v>0</v>
      </c>
      <c r="P28" s="36">
        <f>'Anne-6'!W29</f>
        <v>0</v>
      </c>
      <c r="Q28" s="36">
        <f>+'Anne-7'!L29+'Anne-8'!L29</f>
        <v>0</v>
      </c>
      <c r="R28" s="36"/>
      <c r="S28" s="36"/>
      <c r="T28" s="36">
        <f t="shared" si="1"/>
        <v>0</v>
      </c>
      <c r="U28" s="36">
        <f t="shared" si="0"/>
        <v>0</v>
      </c>
      <c r="V28" s="139"/>
      <c r="W28" s="57" t="e">
        <f t="shared" si="4"/>
        <v>#DIV/0!</v>
      </c>
      <c r="X28" s="59"/>
      <c r="Y28" s="36">
        <f t="shared" si="2"/>
        <v>10356.649672188036</v>
      </c>
      <c r="Z28" s="58">
        <v>2937.3179196993106</v>
      </c>
      <c r="AA28" s="58">
        <v>7419.331752488725</v>
      </c>
      <c r="AC28" s="73">
        <v>2819.999999999998</v>
      </c>
      <c r="AD28" s="73">
        <v>7123</v>
      </c>
      <c r="AO28">
        <v>17.777692701541735</v>
      </c>
    </row>
    <row r="29" spans="1:41" ht="15">
      <c r="A29" s="5">
        <v>22</v>
      </c>
      <c r="B29" s="6" t="s">
        <v>42</v>
      </c>
      <c r="C29" s="85">
        <v>3</v>
      </c>
      <c r="D29" s="36">
        <f>'Anne-6'!D30+'Anne-7'!F30+'Anne-8'!D30</f>
        <v>11253660</v>
      </c>
      <c r="E29" s="56"/>
      <c r="F29" s="36">
        <f t="shared" si="3"/>
        <v>11253660</v>
      </c>
      <c r="G29" s="84">
        <f>'Anne-6'!G30+'Anne-8'!H30</f>
        <v>15063865</v>
      </c>
      <c r="H29" s="8">
        <f>'Anne-6'!S30+'Anne-7'!I30+'Anne-8'!I30</f>
        <v>9702154</v>
      </c>
      <c r="I29" s="84">
        <f>'Anne-6'!I30+'Anne-8'!M30</f>
        <v>14492194</v>
      </c>
      <c r="J29" s="36"/>
      <c r="K29" s="36"/>
      <c r="L29" s="8">
        <f>'Anne-8'!J30+'Anne-7'!J30</f>
        <v>4096606</v>
      </c>
      <c r="M29" s="36">
        <f>'Anne-6'!N30</f>
        <v>6968905</v>
      </c>
      <c r="N29" s="36">
        <f>'Anne-6'!K30</f>
        <v>3774238</v>
      </c>
      <c r="O29" s="36">
        <f>'Anne-6'!V30</f>
        <v>7399456</v>
      </c>
      <c r="P29" s="36">
        <f>'Anne-6'!W30</f>
        <v>14629</v>
      </c>
      <c r="Q29" s="36">
        <f>+'Anne-7'!L30+'Anne-8'!L30</f>
        <v>537198</v>
      </c>
      <c r="R29" s="36"/>
      <c r="S29" s="36"/>
      <c r="T29" s="36">
        <f t="shared" si="1"/>
        <v>62049245</v>
      </c>
      <c r="U29" s="36">
        <f t="shared" si="0"/>
        <v>73302905</v>
      </c>
      <c r="V29" s="139">
        <f aca="true" t="shared" si="6" ref="V29:V37">D29/U29*100</f>
        <v>15.352270145364635</v>
      </c>
      <c r="W29" s="57">
        <f t="shared" si="4"/>
        <v>0.5294310715852956</v>
      </c>
      <c r="X29" s="59">
        <f t="shared" si="5"/>
        <v>138455.99348845606</v>
      </c>
      <c r="Y29" s="36">
        <f t="shared" si="2"/>
        <v>138455.99348845606</v>
      </c>
      <c r="Z29" s="60">
        <v>23470.858717048097</v>
      </c>
      <c r="AA29" s="60">
        <v>114985.13477140797</v>
      </c>
      <c r="AB29" s="24"/>
      <c r="AC29" s="73">
        <v>44060.00000000003</v>
      </c>
      <c r="AD29" s="73">
        <v>156704</v>
      </c>
      <c r="AE29" s="73">
        <f>Z29/(Z29+Z30)*AC29</f>
        <v>22860.453294800962</v>
      </c>
      <c r="AF29">
        <f>AA29/(AA29+AA30)*AD29</f>
        <v>113044.14559246821</v>
      </c>
      <c r="AJ29">
        <v>23369.330574472053</v>
      </c>
      <c r="AK29">
        <v>114487.74235394527</v>
      </c>
      <c r="AO29">
        <v>17.342870722304156</v>
      </c>
    </row>
    <row r="30" spans="1:41" ht="15">
      <c r="A30" s="5">
        <v>23</v>
      </c>
      <c r="B30" s="6" t="s">
        <v>43</v>
      </c>
      <c r="C30" s="85">
        <v>5</v>
      </c>
      <c r="D30" s="36">
        <f>'Anne-6'!D31+'Anne-7'!F31+'Anne-8'!D31</f>
        <v>5637537</v>
      </c>
      <c r="E30" s="56"/>
      <c r="F30" s="36">
        <f t="shared" si="3"/>
        <v>5637537</v>
      </c>
      <c r="G30" s="84">
        <f>'Anne-6'!G31+'Anne-8'!H31</f>
        <v>6556536</v>
      </c>
      <c r="H30" s="84">
        <f>'Anne-6'!S31+'Anne-7'!I31+'Anne-8'!I31</f>
        <v>6593111</v>
      </c>
      <c r="I30" s="84">
        <f>'Anne-6'!I31+'Anne-8'!M31</f>
        <v>9031388</v>
      </c>
      <c r="J30" s="36"/>
      <c r="K30" s="36"/>
      <c r="L30" s="8">
        <f>'Anne-8'!J31+'Anne-7'!J31</f>
        <v>3940526</v>
      </c>
      <c r="M30" s="84">
        <f>'Anne-6'!N31</f>
        <v>10385262</v>
      </c>
      <c r="N30" s="36">
        <f>'Anne-6'!K31</f>
        <v>1409150</v>
      </c>
      <c r="O30" s="36">
        <f>'Anne-6'!V31</f>
        <v>5119624</v>
      </c>
      <c r="P30" s="36">
        <f>'Anne-6'!W31</f>
        <v>3622</v>
      </c>
      <c r="Q30" s="36">
        <f>+'Anne-7'!L31+'Anne-8'!L31</f>
        <v>570069</v>
      </c>
      <c r="R30" s="36"/>
      <c r="S30" s="36"/>
      <c r="T30" s="36">
        <f t="shared" si="1"/>
        <v>43609288</v>
      </c>
      <c r="U30" s="36">
        <f t="shared" si="0"/>
        <v>49246825</v>
      </c>
      <c r="V30" s="139">
        <f t="shared" si="6"/>
        <v>11.447513621436508</v>
      </c>
      <c r="W30" s="57">
        <f t="shared" si="4"/>
        <v>0.6434822330320693</v>
      </c>
      <c r="X30" s="59">
        <f>Y30+Y28</f>
        <v>76531.7556134385</v>
      </c>
      <c r="Y30" s="36">
        <f>Z30+AA30</f>
        <v>66175.10594125045</v>
      </c>
      <c r="Z30" s="60">
        <v>21765.603646028754</v>
      </c>
      <c r="AA30" s="60">
        <v>44409.502295221704</v>
      </c>
      <c r="AB30" s="73"/>
      <c r="AC30" s="73">
        <v>10554.608454484804</v>
      </c>
      <c r="AD30" s="73">
        <v>64539.00000000003</v>
      </c>
      <c r="AE30" s="83">
        <f>AC29-AE29</f>
        <v>21199.546705199067</v>
      </c>
      <c r="AF30" s="73">
        <f>AD29-AF29</f>
        <v>43659.85440753179</v>
      </c>
      <c r="AG30" s="73"/>
      <c r="AJ30">
        <v>20690.669425527976</v>
      </c>
      <c r="AK30">
        <v>42216.25764605473</v>
      </c>
      <c r="AO30">
        <v>0</v>
      </c>
    </row>
    <row r="31" spans="1:41" ht="15">
      <c r="A31" s="5">
        <v>24</v>
      </c>
      <c r="B31" s="6" t="s">
        <v>44</v>
      </c>
      <c r="C31" s="85">
        <v>4</v>
      </c>
      <c r="D31" s="36">
        <f>'Anne-6'!D32+'Anne-7'!F32+'Anne-8'!D32</f>
        <v>4208023</v>
      </c>
      <c r="E31" s="56"/>
      <c r="F31" s="36">
        <f t="shared" si="3"/>
        <v>4208023</v>
      </c>
      <c r="G31" s="84">
        <f>'Anne-6'!G32+'Anne-8'!H32</f>
        <v>9162866</v>
      </c>
      <c r="H31" s="84">
        <f>'Anne-6'!S32+'Anne-7'!I32+'Anne-8'!I32</f>
        <v>6653091</v>
      </c>
      <c r="I31" s="84">
        <f>'Anne-6'!I32+'Anne-8'!M32</f>
        <v>11367866</v>
      </c>
      <c r="J31" s="36">
        <f>I31-D31</f>
        <v>7159843</v>
      </c>
      <c r="K31" s="105">
        <f>J31/D31</f>
        <v>1.7014743027782882</v>
      </c>
      <c r="L31" s="8">
        <f>'Anne-8'!J32+'Anne-7'!J32</f>
        <v>2132004</v>
      </c>
      <c r="M31" s="36">
        <f>'Anne-6'!N32</f>
        <v>2393404</v>
      </c>
      <c r="N31" s="36">
        <f>'Anne-6'!K32</f>
        <v>3053462</v>
      </c>
      <c r="O31" s="36">
        <f>'Anne-6'!V32</f>
        <v>2983788</v>
      </c>
      <c r="P31" s="36">
        <f>'Anne-6'!W32</f>
        <v>0</v>
      </c>
      <c r="Q31" s="36">
        <f>+'Anne-7'!L32+'Anne-8'!L32</f>
        <v>1948996</v>
      </c>
      <c r="R31" s="36"/>
      <c r="S31" s="36"/>
      <c r="T31" s="36">
        <f t="shared" si="1"/>
        <v>39695477</v>
      </c>
      <c r="U31" s="36">
        <f t="shared" si="0"/>
        <v>43903500</v>
      </c>
      <c r="V31" s="139">
        <f t="shared" si="6"/>
        <v>9.584709647294634</v>
      </c>
      <c r="W31" s="57">
        <f t="shared" si="4"/>
        <v>0.5619019499421327</v>
      </c>
      <c r="X31" s="59">
        <f>Y31+Y8</f>
        <v>78133.73846544116</v>
      </c>
      <c r="Y31" s="36">
        <f t="shared" si="2"/>
        <v>77752.97677184276</v>
      </c>
      <c r="Z31" s="58">
        <v>10928.38981755498</v>
      </c>
      <c r="AA31" s="58">
        <v>66824.58695428778</v>
      </c>
      <c r="AC31" s="73">
        <v>15017.39154551519</v>
      </c>
      <c r="AD31" s="73">
        <v>0</v>
      </c>
      <c r="AO31">
        <v>0</v>
      </c>
    </row>
    <row r="32" spans="1:41" ht="15">
      <c r="A32" s="5">
        <v>25</v>
      </c>
      <c r="B32" s="6" t="s">
        <v>45</v>
      </c>
      <c r="C32" s="85">
        <v>4</v>
      </c>
      <c r="D32" s="36">
        <f>'Anne-6'!D33+'Anne-7'!F33+'Anne-8'!D33</f>
        <v>3230972</v>
      </c>
      <c r="E32" s="56"/>
      <c r="F32" s="36">
        <f t="shared" si="3"/>
        <v>3230972</v>
      </c>
      <c r="G32" s="84">
        <f>'Anne-6'!G33+'Anne-8'!H33</f>
        <v>3756616</v>
      </c>
      <c r="H32" s="84">
        <f>'Anne-6'!S33+'Anne-7'!I33+'Anne-8'!I33</f>
        <v>4205086</v>
      </c>
      <c r="I32" s="84">
        <f>'Anne-6'!I33+'Anne-8'!M33</f>
        <v>4139949</v>
      </c>
      <c r="J32" s="36"/>
      <c r="K32" s="36"/>
      <c r="L32" s="8">
        <f>'Anne-8'!J33+'Anne-7'!J33</f>
        <v>2922823</v>
      </c>
      <c r="M32" s="36">
        <f>'Anne-6'!N33</f>
        <v>1250623</v>
      </c>
      <c r="N32" s="36">
        <f>'Anne-6'!K33</f>
        <v>1852675</v>
      </c>
      <c r="O32" s="36">
        <f>'Anne-6'!V33</f>
        <v>1456841</v>
      </c>
      <c r="P32" s="36">
        <f>'Anne-6'!W33</f>
        <v>0</v>
      </c>
      <c r="Q32" s="36">
        <f>+'Anne-7'!L33+'Anne-8'!L33</f>
        <v>882258</v>
      </c>
      <c r="R32" s="36"/>
      <c r="S32" s="36"/>
      <c r="T32" s="36">
        <f t="shared" si="1"/>
        <v>20466871</v>
      </c>
      <c r="U32" s="36">
        <f t="shared" si="0"/>
        <v>23697843</v>
      </c>
      <c r="V32" s="139">
        <f t="shared" si="6"/>
        <v>13.634034118632654</v>
      </c>
      <c r="W32" s="57">
        <f t="shared" si="4"/>
        <v>1.5240213937316407</v>
      </c>
      <c r="X32" s="59">
        <f t="shared" si="5"/>
        <v>15549.547465324404</v>
      </c>
      <c r="Y32" s="36">
        <f t="shared" si="2"/>
        <v>15549.547465324404</v>
      </c>
      <c r="Z32" s="58">
        <v>15549.547465324404</v>
      </c>
      <c r="AA32" s="58">
        <v>0</v>
      </c>
      <c r="AC32" s="73">
        <v>8783.677377314893</v>
      </c>
      <c r="AD32" s="73">
        <v>0</v>
      </c>
      <c r="AG32" s="83">
        <f>AC32+AG27</f>
        <v>9686.67121821958</v>
      </c>
      <c r="AL32">
        <v>10961.421356884708</v>
      </c>
      <c r="AO32">
        <v>15.656343252003001</v>
      </c>
    </row>
    <row r="33" spans="1:30" ht="15">
      <c r="A33" s="5">
        <v>26</v>
      </c>
      <c r="B33" s="6" t="s">
        <v>46</v>
      </c>
      <c r="C33" s="85">
        <v>3</v>
      </c>
      <c r="D33" s="36">
        <f>'Anne-6'!D34+'Anne-7'!F34+'Anne-8'!D34</f>
        <v>2407966</v>
      </c>
      <c r="E33" s="56"/>
      <c r="F33" s="36">
        <f t="shared" si="3"/>
        <v>2407966</v>
      </c>
      <c r="G33" s="84">
        <f>'Anne-6'!G34+'Anne-8'!H34</f>
        <v>3977649</v>
      </c>
      <c r="H33" s="36">
        <f>'Anne-6'!S34+'Anne-7'!I34+'Anne-8'!I34</f>
        <v>939771</v>
      </c>
      <c r="I33" s="36">
        <f>'Anne-6'!I34+'Anne-8'!M34</f>
        <v>2071285</v>
      </c>
      <c r="J33" s="36">
        <f>G33-D33</f>
        <v>1569683</v>
      </c>
      <c r="K33" s="105">
        <f>J33/D33</f>
        <v>0.6518709151208946</v>
      </c>
      <c r="L33" s="8">
        <f>'Anne-8'!J34+'Anne-7'!J34</f>
        <v>1471511</v>
      </c>
      <c r="M33" s="36">
        <f>'Anne-6'!N34</f>
        <v>0</v>
      </c>
      <c r="N33" s="84">
        <f>'Anne-6'!K34</f>
        <v>3812093</v>
      </c>
      <c r="O33" s="36">
        <f>'Anne-6'!V34</f>
        <v>0</v>
      </c>
      <c r="P33" s="36">
        <f>'Anne-6'!W34</f>
        <v>0</v>
      </c>
      <c r="Q33" s="36">
        <f>+'Anne-7'!L34+'Anne-8'!L34</f>
        <v>0</v>
      </c>
      <c r="R33" s="36"/>
      <c r="S33" s="36"/>
      <c r="T33" s="36">
        <f t="shared" si="1"/>
        <v>12272309</v>
      </c>
      <c r="U33" s="36">
        <f t="shared" si="0"/>
        <v>14680275</v>
      </c>
      <c r="V33" s="139">
        <f t="shared" si="6"/>
        <v>16.402730875273114</v>
      </c>
      <c r="W33" s="57">
        <f t="shared" si="4"/>
        <v>1.2341598520462898</v>
      </c>
      <c r="X33" s="59">
        <f t="shared" si="5"/>
        <v>11894.954268411404</v>
      </c>
      <c r="Y33" s="36">
        <f t="shared" si="2"/>
        <v>11894.954268411404</v>
      </c>
      <c r="Z33" s="58">
        <v>11894.954268411404</v>
      </c>
      <c r="AA33" s="61">
        <v>0</v>
      </c>
      <c r="AC33" s="73"/>
      <c r="AD33" s="73"/>
    </row>
    <row r="34" spans="1:33" ht="15">
      <c r="A34" s="5"/>
      <c r="B34" s="7" t="s">
        <v>47</v>
      </c>
      <c r="C34" s="45">
        <v>3</v>
      </c>
      <c r="D34" s="8">
        <f aca="true" t="shared" si="7" ref="D34:U34">SUM(D8:D33)</f>
        <v>121000500</v>
      </c>
      <c r="E34" s="8">
        <f t="shared" si="7"/>
        <v>0</v>
      </c>
      <c r="F34" s="8">
        <f t="shared" si="7"/>
        <v>121000500</v>
      </c>
      <c r="G34" s="8">
        <f t="shared" si="7"/>
        <v>173394483</v>
      </c>
      <c r="H34" s="8">
        <f t="shared" si="7"/>
        <v>105717655</v>
      </c>
      <c r="I34" s="8">
        <f t="shared" si="7"/>
        <v>133144928</v>
      </c>
      <c r="J34" s="8">
        <f t="shared" si="7"/>
        <v>59035028</v>
      </c>
      <c r="K34" s="8">
        <f t="shared" si="7"/>
        <v>9.586821347527032</v>
      </c>
      <c r="L34" s="8">
        <f t="shared" si="7"/>
        <v>61354863</v>
      </c>
      <c r="M34" s="8">
        <f t="shared" si="7"/>
        <v>108776504</v>
      </c>
      <c r="N34" s="8">
        <f t="shared" si="7"/>
        <v>57269395</v>
      </c>
      <c r="O34" s="8">
        <f t="shared" si="7"/>
        <v>38251158</v>
      </c>
      <c r="P34" s="8">
        <f t="shared" si="7"/>
        <v>2257054</v>
      </c>
      <c r="Q34" s="36">
        <f>SUM(Q8:Q33)</f>
        <v>13026424</v>
      </c>
      <c r="R34" s="36">
        <f t="shared" si="7"/>
        <v>1774528</v>
      </c>
      <c r="S34" s="36"/>
      <c r="T34" s="36">
        <f t="shared" si="1"/>
        <v>694966992</v>
      </c>
      <c r="U34" s="36">
        <f t="shared" si="7"/>
        <v>815967492</v>
      </c>
      <c r="V34" s="139">
        <f t="shared" si="6"/>
        <v>14.829083411572968</v>
      </c>
      <c r="W34" s="91">
        <f t="shared" si="4"/>
        <v>0.6829635331613259</v>
      </c>
      <c r="X34" s="36">
        <f>SUM(X8:X33)</f>
        <v>1194745.3302858216</v>
      </c>
      <c r="Y34" s="36">
        <f>SUM(Y8:Y33)</f>
        <v>1194745.330285821</v>
      </c>
      <c r="Z34" s="62">
        <f>SUM(Z8:Z33)</f>
        <v>330846.25481652084</v>
      </c>
      <c r="AA34" s="62">
        <f>SUM(AA8:AA33)</f>
        <v>863899.0754693004</v>
      </c>
      <c r="AC34" s="62">
        <f>SUM(AC8:AC33)</f>
        <v>319433.4547131093</v>
      </c>
      <c r="AD34" s="62">
        <f>SUM(AD8:AD33)</f>
        <v>833716.9999999999</v>
      </c>
      <c r="AG34" s="83"/>
    </row>
    <row r="35" spans="1:30" ht="14.25">
      <c r="A35" s="4">
        <v>27</v>
      </c>
      <c r="B35" s="3" t="s">
        <v>48</v>
      </c>
      <c r="C35" s="3"/>
      <c r="D35" s="56"/>
      <c r="E35" s="96">
        <f>'Anne-6'!E36+'Anne-7'!G36+'Anne-8'!E36</f>
        <v>4176519</v>
      </c>
      <c r="F35" s="36">
        <f t="shared" si="3"/>
        <v>4176519</v>
      </c>
      <c r="G35" s="8">
        <f>'Anne-6'!G36+'Anne-8'!H36</f>
        <v>10188545</v>
      </c>
      <c r="H35" s="36">
        <f>'Anne-6'!S36+'Anne-7'!I36+'Anne-8'!I36</f>
        <v>7629039</v>
      </c>
      <c r="I35" s="36">
        <f>'Anne-6'!I36+'Anne-8'!M36</f>
        <v>8467880</v>
      </c>
      <c r="J35" s="36"/>
      <c r="K35" s="36"/>
      <c r="L35" s="8">
        <f>'Anne-8'!J36+'Anne-7'!J36</f>
        <v>3847423</v>
      </c>
      <c r="M35" s="36">
        <f>'Anne-6'!N36</f>
        <v>4737090</v>
      </c>
      <c r="N35" s="36">
        <f>'Anne-6'!K36</f>
        <v>2850948</v>
      </c>
      <c r="O35" s="36">
        <f>'Anne-6'!V36</f>
        <v>0</v>
      </c>
      <c r="P35" s="36">
        <f>'Anne-6'!W36</f>
        <v>0</v>
      </c>
      <c r="Q35" s="36">
        <f>+'Anne-7'!L36+'Anne-8'!L36</f>
        <v>929889</v>
      </c>
      <c r="R35" s="36"/>
      <c r="S35" s="36"/>
      <c r="T35" s="36">
        <f t="shared" si="1"/>
        <v>38650814</v>
      </c>
      <c r="U35" s="36">
        <f>F35+T35</f>
        <v>42827333</v>
      </c>
      <c r="V35" s="139">
        <f t="shared" si="6"/>
        <v>0</v>
      </c>
      <c r="W35" s="57">
        <f t="shared" si="4"/>
        <v>2.4896326338439643</v>
      </c>
      <c r="X35" s="59">
        <f t="shared" si="5"/>
        <v>17202.27009310811</v>
      </c>
      <c r="Y35" s="36">
        <f t="shared" si="2"/>
        <v>17202.27009310811</v>
      </c>
      <c r="Z35" s="63">
        <v>16416.322790062735</v>
      </c>
      <c r="AA35" s="63">
        <v>785.947303045372</v>
      </c>
      <c r="AC35" s="73">
        <v>17607.999999999985</v>
      </c>
      <c r="AD35" s="73">
        <v>842.9999999999995</v>
      </c>
    </row>
    <row r="36" spans="1:30" ht="14.25">
      <c r="A36" s="4">
        <v>28</v>
      </c>
      <c r="B36" s="3" t="s">
        <v>49</v>
      </c>
      <c r="C36" s="3"/>
      <c r="D36" s="56"/>
      <c r="E36" s="96">
        <f>'Anne-6'!E37+'Anne-7'!G37+'Anne-8'!E37</f>
        <v>4580902</v>
      </c>
      <c r="F36" s="36">
        <f t="shared" si="3"/>
        <v>4580902</v>
      </c>
      <c r="G36" s="8">
        <f>'Anne-6'!G37+'Anne-8'!H37</f>
        <v>3891056</v>
      </c>
      <c r="H36" s="36">
        <f>'Anne-6'!S37+'Anne-7'!I37+'Anne-8'!I37</f>
        <v>6220410</v>
      </c>
      <c r="I36" s="36">
        <f>'Anne-6'!I37+'Anne-8'!M37</f>
        <v>6116990</v>
      </c>
      <c r="J36" s="36"/>
      <c r="K36" s="36"/>
      <c r="L36" s="8">
        <f>'Anne-8'!J37+'Anne-7'!J37</f>
        <v>3979089</v>
      </c>
      <c r="M36" s="36">
        <f>'Anne-6'!N37</f>
        <v>2886271</v>
      </c>
      <c r="N36" s="36">
        <f>'Anne-6'!K37</f>
        <v>1450948</v>
      </c>
      <c r="O36" s="36">
        <f>'Anne-6'!V37</f>
        <v>1868314</v>
      </c>
      <c r="P36" s="36">
        <f>'Anne-6'!W37</f>
        <v>0</v>
      </c>
      <c r="Q36" s="36">
        <f>+'Anne-7'!L37+'Anne-8'!L37</f>
        <v>447707</v>
      </c>
      <c r="R36" s="36"/>
      <c r="S36" s="36">
        <f>'Anne-6'!X37</f>
        <v>3028539</v>
      </c>
      <c r="T36" s="36">
        <f>G36+H36+L36+I36+M36+N36+S36+R36+Q36+O36+P36</f>
        <v>29889324</v>
      </c>
      <c r="U36" s="36">
        <f>F36+T36</f>
        <v>34470226</v>
      </c>
      <c r="V36" s="139">
        <f t="shared" si="6"/>
        <v>0</v>
      </c>
      <c r="W36" s="57">
        <f t="shared" si="4"/>
        <v>1.4289572985502899</v>
      </c>
      <c r="X36" s="59">
        <f t="shared" si="5"/>
        <v>24122.642457525384</v>
      </c>
      <c r="Y36" s="36">
        <f>Z36+AA36</f>
        <v>24122.642457525384</v>
      </c>
      <c r="Z36" s="63">
        <v>24122.642457525384</v>
      </c>
      <c r="AA36" s="63">
        <v>0</v>
      </c>
      <c r="AC36" s="73">
        <v>20904.545286890716</v>
      </c>
      <c r="AD36" s="73">
        <v>0</v>
      </c>
    </row>
    <row r="37" spans="1:31" ht="15">
      <c r="A37" s="4"/>
      <c r="B37" s="3" t="s">
        <v>50</v>
      </c>
      <c r="C37" s="75">
        <v>3</v>
      </c>
      <c r="D37" s="36">
        <f aca="true" t="shared" si="8" ref="D37:U37">SUM(D34:D36)</f>
        <v>121000500</v>
      </c>
      <c r="E37" s="36">
        <f t="shared" si="8"/>
        <v>8757421</v>
      </c>
      <c r="F37" s="36">
        <f t="shared" si="8"/>
        <v>129757921</v>
      </c>
      <c r="G37" s="36">
        <f t="shared" si="8"/>
        <v>187474084</v>
      </c>
      <c r="H37" s="36">
        <f t="shared" si="8"/>
        <v>119567104</v>
      </c>
      <c r="I37" s="36">
        <f t="shared" si="8"/>
        <v>147729798</v>
      </c>
      <c r="J37" s="36">
        <f t="shared" si="8"/>
        <v>59035028</v>
      </c>
      <c r="K37" s="36">
        <f t="shared" si="8"/>
        <v>9.586821347527032</v>
      </c>
      <c r="L37" s="36">
        <f t="shared" si="8"/>
        <v>69181375</v>
      </c>
      <c r="M37" s="36">
        <f t="shared" si="8"/>
        <v>116399865</v>
      </c>
      <c r="N37" s="36">
        <f t="shared" si="8"/>
        <v>61571291</v>
      </c>
      <c r="O37" s="36">
        <f t="shared" si="8"/>
        <v>40119472</v>
      </c>
      <c r="P37" s="36">
        <f t="shared" si="8"/>
        <v>2257054</v>
      </c>
      <c r="Q37" s="8">
        <f>SUM(Q34:Q36)</f>
        <v>14404020</v>
      </c>
      <c r="R37" s="8">
        <f t="shared" si="8"/>
        <v>1774528</v>
      </c>
      <c r="S37" s="8">
        <f>SUM(S34:S36)</f>
        <v>3028539</v>
      </c>
      <c r="T37" s="36">
        <f t="shared" si="1"/>
        <v>763507130</v>
      </c>
      <c r="U37" s="36">
        <f t="shared" si="8"/>
        <v>893265051</v>
      </c>
      <c r="V37" s="146">
        <f t="shared" si="6"/>
        <v>13.545867473997927</v>
      </c>
      <c r="W37" s="57">
        <f t="shared" si="4"/>
        <v>0.7226652823145329</v>
      </c>
      <c r="X37" s="36">
        <f>SUM(X34:X36)</f>
        <v>1236070.242836455</v>
      </c>
      <c r="Y37" s="36">
        <f t="shared" si="2"/>
        <v>1236070.2428364549</v>
      </c>
      <c r="Z37" s="62">
        <f>Z34+Z35+Z36</f>
        <v>371385.22006410896</v>
      </c>
      <c r="AA37" s="62">
        <f>AA34+AA35+AA36</f>
        <v>864685.0227723458</v>
      </c>
      <c r="AC37" s="62">
        <f>AC34+AC35+AC36</f>
        <v>357946</v>
      </c>
      <c r="AD37" s="62">
        <f>AD34+AD35+AD36</f>
        <v>834559.9999999999</v>
      </c>
      <c r="AE37" s="81">
        <f>AC37+AD37</f>
        <v>1192506</v>
      </c>
    </row>
    <row r="38" spans="1:27" ht="14.25">
      <c r="A38" s="107" t="s">
        <v>51</v>
      </c>
      <c r="B38" s="109"/>
      <c r="C38" s="3"/>
      <c r="D38" s="148">
        <f>D37/U37*100</f>
        <v>13.545867473997927</v>
      </c>
      <c r="E38" s="148">
        <f>E37/U37*100</f>
        <v>0.9803832569287433</v>
      </c>
      <c r="F38" s="148">
        <f>F37/U37</f>
        <v>0.1452625073092667</v>
      </c>
      <c r="G38" s="148">
        <f>G37/U37*100</f>
        <v>20.987509115029734</v>
      </c>
      <c r="H38" s="148">
        <f>H37/U37*100</f>
        <v>13.385400432508357</v>
      </c>
      <c r="I38" s="148">
        <f>I37/U37*100</f>
        <v>16.53818178989743</v>
      </c>
      <c r="J38" s="148"/>
      <c r="K38" s="148"/>
      <c r="L38" s="148">
        <f>L37/U37*100</f>
        <v>7.744775744058524</v>
      </c>
      <c r="M38" s="148">
        <f>M37/U37*100</f>
        <v>13.030831651780364</v>
      </c>
      <c r="N38" s="148">
        <f>N37/U37*100</f>
        <v>6.892835551001536</v>
      </c>
      <c r="O38" s="148">
        <f>O37/U37*100</f>
        <v>4.491328968382533</v>
      </c>
      <c r="P38" s="148">
        <f>P37/U37*100</f>
        <v>0.25267461180455386</v>
      </c>
      <c r="Q38" s="148">
        <f>Q37/U37*100</f>
        <v>1.6125135517028082</v>
      </c>
      <c r="R38" s="148">
        <f>R37/U37*100</f>
        <v>0.19865637841908584</v>
      </c>
      <c r="S38" s="148">
        <f>S37/U37*100</f>
        <v>0.33904147448840466</v>
      </c>
      <c r="T38" s="148">
        <f>T37/U37*100</f>
        <v>85.47374926907332</v>
      </c>
      <c r="U38" s="148">
        <f>U37/U37*100</f>
        <v>100</v>
      </c>
      <c r="V38" s="95"/>
      <c r="Z38" s="24"/>
      <c r="AA38" s="24"/>
    </row>
    <row r="39" spans="1:31" ht="15" thickBot="1">
      <c r="A39" s="101"/>
      <c r="B39" s="77"/>
      <c r="C39" s="101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77"/>
      <c r="Z39" s="24"/>
      <c r="AA39" s="24"/>
      <c r="AE39" s="81"/>
    </row>
    <row r="40" spans="1:31" ht="15">
      <c r="A40" s="123" t="s">
        <v>240</v>
      </c>
      <c r="B40" s="124"/>
      <c r="C40" s="133">
        <v>4</v>
      </c>
      <c r="D40" s="129">
        <v>120963451</v>
      </c>
      <c r="E40" s="120">
        <v>8756494</v>
      </c>
      <c r="F40" s="120">
        <v>129719945</v>
      </c>
      <c r="G40" s="120">
        <v>185185267</v>
      </c>
      <c r="H40" s="120">
        <v>119787008</v>
      </c>
      <c r="I40" s="120">
        <v>147504910</v>
      </c>
      <c r="J40" s="120">
        <v>58040522</v>
      </c>
      <c r="K40" s="120">
        <v>9.38984205192288</v>
      </c>
      <c r="L40" s="120">
        <v>71047955</v>
      </c>
      <c r="M40" s="120">
        <v>113946827</v>
      </c>
      <c r="N40" s="120">
        <v>63347284</v>
      </c>
      <c r="O40" s="120">
        <v>41520544</v>
      </c>
      <c r="P40" s="120">
        <v>3640312</v>
      </c>
      <c r="Q40" s="120">
        <v>14929695</v>
      </c>
      <c r="R40" s="120">
        <v>1880473</v>
      </c>
      <c r="S40" s="120">
        <v>3028539</v>
      </c>
      <c r="T40" s="120">
        <v>765818814</v>
      </c>
      <c r="U40" s="120">
        <v>895538759</v>
      </c>
      <c r="V40" s="147">
        <f>D40/U40*100</f>
        <v>13.507338435588581</v>
      </c>
      <c r="W40" s="92"/>
      <c r="Y40" s="81"/>
      <c r="Z40" s="24"/>
      <c r="AA40" s="24"/>
      <c r="AE40" s="81"/>
    </row>
    <row r="41" spans="1:27" ht="15.75" thickBot="1">
      <c r="A41" s="125" t="s">
        <v>241</v>
      </c>
      <c r="B41" s="122"/>
      <c r="C41" s="4">
        <v>4</v>
      </c>
      <c r="D41" s="121">
        <f>D37-D40</f>
        <v>37049</v>
      </c>
      <c r="E41" s="121">
        <f aca="true" t="shared" si="9" ref="E41:R41">E37-E40</f>
        <v>927</v>
      </c>
      <c r="F41" s="121">
        <f t="shared" si="9"/>
        <v>37976</v>
      </c>
      <c r="G41" s="121">
        <f t="shared" si="9"/>
        <v>2288817</v>
      </c>
      <c r="H41" s="121">
        <f t="shared" si="9"/>
        <v>-219904</v>
      </c>
      <c r="I41" s="121">
        <f t="shared" si="9"/>
        <v>224888</v>
      </c>
      <c r="J41" s="121">
        <f t="shared" si="9"/>
        <v>994506</v>
      </c>
      <c r="K41" s="121">
        <f t="shared" si="9"/>
        <v>0.19697929560415162</v>
      </c>
      <c r="L41" s="121">
        <f t="shared" si="9"/>
        <v>-1866580</v>
      </c>
      <c r="M41" s="121">
        <f t="shared" si="9"/>
        <v>2453038</v>
      </c>
      <c r="N41" s="121">
        <f t="shared" si="9"/>
        <v>-1775993</v>
      </c>
      <c r="O41" s="121">
        <f>O37-O40</f>
        <v>-1401072</v>
      </c>
      <c r="P41" s="121">
        <f>P37-P40</f>
        <v>-1383258</v>
      </c>
      <c r="Q41" s="121">
        <f>Q37-Q40</f>
        <v>-525675</v>
      </c>
      <c r="R41" s="121">
        <f t="shared" si="9"/>
        <v>-105945</v>
      </c>
      <c r="S41" s="121">
        <f>S37-S40</f>
        <v>0</v>
      </c>
      <c r="T41" s="121">
        <f>T37-T40</f>
        <v>-2311684</v>
      </c>
      <c r="U41" s="121">
        <f>U37-U40</f>
        <v>-2273708</v>
      </c>
      <c r="V41" s="423" t="s">
        <v>130</v>
      </c>
      <c r="W41" s="92"/>
      <c r="X41" s="92">
        <f>V40-V37</f>
        <v>-0.03852903840934552</v>
      </c>
      <c r="Z41" s="24"/>
      <c r="AA41" s="24"/>
    </row>
    <row r="42" spans="1:24" ht="15">
      <c r="A42" s="123" t="s">
        <v>186</v>
      </c>
      <c r="B42" s="127"/>
      <c r="C42" s="135">
        <v>4</v>
      </c>
      <c r="D42" s="131">
        <v>120980720</v>
      </c>
      <c r="E42" s="132">
        <v>9299537</v>
      </c>
      <c r="F42" s="132">
        <v>130280257</v>
      </c>
      <c r="G42" s="132">
        <v>184549245</v>
      </c>
      <c r="H42" s="132">
        <v>154315442</v>
      </c>
      <c r="I42" s="132">
        <f>150465330+17850</f>
        <v>150483180</v>
      </c>
      <c r="J42" s="132">
        <v>58223473</v>
      </c>
      <c r="K42" s="132">
        <v>9.318547005735773</v>
      </c>
      <c r="L42" s="132">
        <v>83187167</v>
      </c>
      <c r="M42" s="132">
        <v>112722692</v>
      </c>
      <c r="N42" s="132">
        <v>62572579</v>
      </c>
      <c r="O42" s="132">
        <v>42431924</v>
      </c>
      <c r="P42" s="132">
        <v>5951588</v>
      </c>
      <c r="Q42" s="132">
        <v>15849698</v>
      </c>
      <c r="R42" s="132">
        <v>1531824</v>
      </c>
      <c r="S42" s="132">
        <v>3267241</v>
      </c>
      <c r="T42" s="132">
        <v>814323430</v>
      </c>
      <c r="U42" s="132">
        <v>952247948</v>
      </c>
      <c r="V42" s="147">
        <f>D42/U42*100</f>
        <v>12.70474987676214</v>
      </c>
      <c r="W42" s="92"/>
      <c r="X42" s="92">
        <f>V42-V37</f>
        <v>-0.8411175972357867</v>
      </c>
    </row>
    <row r="43" spans="1:23" ht="16.5" thickBot="1">
      <c r="A43" s="126" t="s">
        <v>193</v>
      </c>
      <c r="B43" s="128"/>
      <c r="C43" s="134">
        <v>4</v>
      </c>
      <c r="D43" s="130">
        <f aca="true" t="shared" si="10" ref="D43:U43">D37-D42</f>
        <v>19780</v>
      </c>
      <c r="E43" s="130">
        <f t="shared" si="10"/>
        <v>-542116</v>
      </c>
      <c r="F43" s="130">
        <f t="shared" si="10"/>
        <v>-522336</v>
      </c>
      <c r="G43" s="130">
        <f t="shared" si="10"/>
        <v>2924839</v>
      </c>
      <c r="H43" s="130">
        <f t="shared" si="10"/>
        <v>-34748338</v>
      </c>
      <c r="I43" s="130">
        <f t="shared" si="10"/>
        <v>-2753382</v>
      </c>
      <c r="J43" s="130">
        <f t="shared" si="10"/>
        <v>811555</v>
      </c>
      <c r="K43" s="130">
        <f t="shared" si="10"/>
        <v>0.2682743417912583</v>
      </c>
      <c r="L43" s="130">
        <f t="shared" si="10"/>
        <v>-14005792</v>
      </c>
      <c r="M43" s="130">
        <f t="shared" si="10"/>
        <v>3677173</v>
      </c>
      <c r="N43" s="130">
        <f t="shared" si="10"/>
        <v>-1001288</v>
      </c>
      <c r="O43" s="130">
        <f t="shared" si="10"/>
        <v>-2312452</v>
      </c>
      <c r="P43" s="130">
        <f t="shared" si="10"/>
        <v>-3694534</v>
      </c>
      <c r="Q43" s="130">
        <f t="shared" si="10"/>
        <v>-1445678</v>
      </c>
      <c r="R43" s="130">
        <f t="shared" si="10"/>
        <v>242704</v>
      </c>
      <c r="S43" s="130">
        <f t="shared" si="10"/>
        <v>-238702</v>
      </c>
      <c r="T43" s="130">
        <f t="shared" si="10"/>
        <v>-50816300</v>
      </c>
      <c r="U43" s="130">
        <f t="shared" si="10"/>
        <v>-58982897</v>
      </c>
      <c r="V43" s="424" t="s">
        <v>130</v>
      </c>
      <c r="W43" s="92"/>
    </row>
    <row r="44" spans="1:22" ht="15.75" hidden="1">
      <c r="A44" s="168" t="s">
        <v>127</v>
      </c>
      <c r="B44" s="169"/>
      <c r="C44" s="170">
        <v>7</v>
      </c>
      <c r="D44" s="171">
        <f>'Anne-8'!D44</f>
        <v>-1708125</v>
      </c>
      <c r="E44" s="172">
        <f>'Anne-8'!E44</f>
        <v>255</v>
      </c>
      <c r="F44" s="172">
        <f>'Anne-8'!F44</f>
        <v>-1707870</v>
      </c>
      <c r="G44" s="172">
        <f>'Anne-8'!G44</f>
        <v>10568</v>
      </c>
      <c r="H44" s="172">
        <f>'Anne-8'!I44</f>
        <v>-10449</v>
      </c>
      <c r="I44" s="173"/>
      <c r="J44" s="173"/>
      <c r="K44" s="173"/>
      <c r="L44" s="172">
        <f>'Anne-8'!J44</f>
        <v>57991</v>
      </c>
      <c r="M44" s="173"/>
      <c r="N44" s="173"/>
      <c r="O44" s="172"/>
      <c r="P44" s="173"/>
      <c r="Q44" s="172">
        <f>'Anne-8'!L44</f>
        <v>3911</v>
      </c>
      <c r="R44" s="172">
        <f>'Anne-8'!K44</f>
        <v>-15716</v>
      </c>
      <c r="S44" s="173"/>
      <c r="T44" s="172">
        <f>'Anne-8'!N44</f>
        <v>58095</v>
      </c>
      <c r="U44" s="172">
        <f>'Anne-8'!O44</f>
        <v>-1631925</v>
      </c>
      <c r="V44" s="174">
        <f>D44/U44</f>
        <v>1.0466933223034147</v>
      </c>
    </row>
    <row r="45" spans="1:25" ht="15">
      <c r="A45" t="str">
        <f>'Anne-5'!A46</f>
        <v>Note: As per TRAI report, M/s Etisalat, S. Tel and Loop (Except for Mumbai Circle) have submitted that there are no active subscribers on their network hence their figures have been taken as Zero.</v>
      </c>
      <c r="B45" s="26"/>
      <c r="C45" s="26"/>
      <c r="U45" s="24"/>
      <c r="Y45" s="92"/>
    </row>
    <row r="46" spans="2:21" ht="15">
      <c r="B46" s="26"/>
      <c r="C46" s="26"/>
      <c r="U46" s="82"/>
    </row>
    <row r="47" ht="12.75">
      <c r="U47" s="297">
        <f>U41/1000000</f>
        <v>-2.273708</v>
      </c>
    </row>
    <row r="48" spans="4:21" ht="12.75">
      <c r="D48" s="389">
        <f>D15/U15*100</f>
        <v>26.58919781433717</v>
      </c>
      <c r="E48" s="389"/>
      <c r="F48" s="389"/>
      <c r="G48" s="389">
        <f>G15/U15*100</f>
        <v>27.012447781535297</v>
      </c>
      <c r="H48" s="389">
        <f>H15/U15*100</f>
        <v>20.757645657949126</v>
      </c>
      <c r="I48" s="389">
        <f>I15/U15*100</f>
        <v>6.7188392792899565</v>
      </c>
      <c r="J48" s="389">
        <f>J15/V15*100</f>
        <v>0</v>
      </c>
      <c r="K48" s="389">
        <f>K15/W15*100</f>
        <v>0</v>
      </c>
      <c r="L48" s="389">
        <f>L15/U15*100</f>
        <v>2.7175469560567778</v>
      </c>
      <c r="M48" s="389">
        <f>M15/U15*100</f>
        <v>6.334246142429258</v>
      </c>
      <c r="N48" s="389">
        <f>N15/U15*100</f>
        <v>9.867057185303068</v>
      </c>
      <c r="O48" s="389">
        <f>O15/U15*100</f>
        <v>0.002017491510311075</v>
      </c>
      <c r="P48" s="389">
        <f>P15/U15*100</f>
        <v>0</v>
      </c>
      <c r="Q48" s="389">
        <f>Q15/U15*100</f>
        <v>0.0010016915890355687</v>
      </c>
      <c r="R48" s="389">
        <f>R15/U15*100</f>
        <v>0</v>
      </c>
      <c r="S48" s="389">
        <f>S15/U15*100</f>
        <v>0</v>
      </c>
      <c r="U48" s="92">
        <f>U37/1000000</f>
        <v>893.265051</v>
      </c>
    </row>
    <row r="49" spans="4:21" ht="12.75">
      <c r="D49" s="81"/>
      <c r="F49" s="81"/>
      <c r="U49" s="81"/>
    </row>
    <row r="50" spans="4:6" ht="12.75">
      <c r="D50" s="81"/>
      <c r="F50" s="81"/>
    </row>
    <row r="51" ht="12.75">
      <c r="F51" s="81"/>
    </row>
    <row r="52" ht="12.75">
      <c r="D52" s="81"/>
    </row>
    <row r="68" ht="12.75">
      <c r="S68" s="83"/>
    </row>
    <row r="69" ht="12.75">
      <c r="S69" s="83"/>
    </row>
    <row r="70" ht="12.75">
      <c r="S70" s="83"/>
    </row>
    <row r="71" ht="12.75">
      <c r="S71" s="83"/>
    </row>
    <row r="72" ht="12.75">
      <c r="S72" s="83"/>
    </row>
    <row r="73" ht="12.75">
      <c r="S73" s="83"/>
    </row>
    <row r="74" ht="12.75">
      <c r="S74" s="83"/>
    </row>
    <row r="75" ht="12.75">
      <c r="S75" s="83"/>
    </row>
    <row r="76" ht="12.75">
      <c r="S76" s="83"/>
    </row>
    <row r="77" ht="12.75">
      <c r="S77" s="83"/>
    </row>
    <row r="78" ht="12.75">
      <c r="S78" s="83"/>
    </row>
    <row r="79" ht="12.75">
      <c r="S79" s="83"/>
    </row>
    <row r="80" spans="19:20" ht="12.75">
      <c r="S80" s="83"/>
      <c r="T80" s="83"/>
    </row>
  </sheetData>
  <sheetProtection/>
  <mergeCells count="8">
    <mergeCell ref="X6:X7"/>
    <mergeCell ref="W6:W7"/>
    <mergeCell ref="V6:V7"/>
    <mergeCell ref="A6:A7"/>
    <mergeCell ref="B6:B7"/>
    <mergeCell ref="T6:T7"/>
    <mergeCell ref="U6:U7"/>
    <mergeCell ref="C6:C7"/>
  </mergeCells>
  <conditionalFormatting sqref="V9:V36">
    <cfRule type="top10" priority="1" dxfId="1" stopIfTrue="1" rank="5" bottom="1"/>
    <cfRule type="top10" priority="2" dxfId="0" stopIfTrue="1" rank="5" percent="1"/>
  </conditionalFormatting>
  <conditionalFormatting sqref="V9:V37">
    <cfRule type="top10" priority="3" dxfId="1" stopIfTrue="1" rank="5" bottom="1"/>
    <cfRule type="top10" priority="4" dxfId="0" stopIfTrue="1" rank="5"/>
  </conditionalFormatting>
  <printOptions/>
  <pageMargins left="0.1968503937007874" right="0" top="0.5511811023622047" bottom="0.5511811023622047" header="0.5118110236220472" footer="0.5118110236220472"/>
  <pageSetup horizontalDpi="600" verticalDpi="600" orientation="landscape" paperSize="9" scale="6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pane xSplit="3" ySplit="8" topLeftCell="I3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45" sqref="J45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5.7109375" style="2" customWidth="1"/>
    <col min="4" max="4" width="12.7109375" style="2" customWidth="1"/>
    <col min="5" max="5" width="9.8515625" style="2" customWidth="1"/>
    <col min="6" max="6" width="11.8515625" style="2" hidden="1" customWidth="1"/>
    <col min="7" max="9" width="12.7109375" style="2" customWidth="1"/>
    <col min="10" max="10" width="12.57421875" style="2" customWidth="1"/>
    <col min="11" max="11" width="12.7109375" style="2" customWidth="1"/>
    <col min="12" max="13" width="11.57421875" style="2" customWidth="1"/>
    <col min="14" max="14" width="10.57421875" style="2" customWidth="1"/>
    <col min="15" max="15" width="11.7109375" style="2" customWidth="1"/>
    <col min="16" max="16" width="9.8515625" style="2" customWidth="1"/>
    <col min="17" max="17" width="10.00390625" style="2" customWidth="1"/>
    <col min="18" max="18" width="12.7109375" style="2" customWidth="1"/>
    <col min="19" max="19" width="12.8515625" style="2" customWidth="1"/>
    <col min="20" max="20" width="9.28125" style="2" customWidth="1"/>
    <col min="21" max="21" width="11.28125" style="2" customWidth="1"/>
    <col min="22" max="22" width="11.28125" style="2" bestFit="1" customWidth="1"/>
    <col min="23" max="23" width="12.421875" style="2" bestFit="1" customWidth="1"/>
    <col min="24" max="24" width="11.28125" style="2" customWidth="1"/>
    <col min="25" max="16384" width="9.140625" style="2" customWidth="1"/>
  </cols>
  <sheetData>
    <row r="1" spans="5:19" ht="15">
      <c r="E1" s="14"/>
      <c r="S1" s="76" t="s">
        <v>113</v>
      </c>
    </row>
    <row r="2" spans="2:7" ht="14.25">
      <c r="B2" s="2" t="str">
        <f>'Anne-4'!B2</f>
        <v>No. 1-2(1)/Market Share/2012-CP&amp;M </v>
      </c>
      <c r="G2" s="2" t="str">
        <f>'Anne-4'!H2</f>
        <v>Dated: 28th February 2013.</v>
      </c>
    </row>
    <row r="4" spans="2:3" ht="15">
      <c r="B4" s="76" t="s">
        <v>242</v>
      </c>
      <c r="C4" s="76"/>
    </row>
    <row r="5" spans="4:17" ht="14.25">
      <c r="D5" s="90">
        <v>1</v>
      </c>
      <c r="E5" s="90">
        <v>2</v>
      </c>
      <c r="F5" s="90"/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90">
        <v>8</v>
      </c>
      <c r="M5" s="90">
        <v>9</v>
      </c>
      <c r="N5" s="90">
        <v>10</v>
      </c>
      <c r="O5" s="90">
        <v>11</v>
      </c>
      <c r="P5" s="90">
        <v>12</v>
      </c>
      <c r="Q5" s="90">
        <v>13</v>
      </c>
    </row>
    <row r="6" spans="1:20" ht="15" customHeight="1">
      <c r="A6" s="467" t="s">
        <v>19</v>
      </c>
      <c r="B6" s="467" t="s">
        <v>20</v>
      </c>
      <c r="C6" s="45"/>
      <c r="D6" s="175" t="s">
        <v>64</v>
      </c>
      <c r="E6" s="13"/>
      <c r="F6" s="13"/>
      <c r="G6" s="13"/>
      <c r="H6" s="13"/>
      <c r="I6" s="13"/>
      <c r="J6" s="13"/>
      <c r="K6" s="13"/>
      <c r="L6" s="13"/>
      <c r="M6" s="15"/>
      <c r="N6" s="13"/>
      <c r="O6" s="15"/>
      <c r="P6" s="15"/>
      <c r="Q6" s="13"/>
      <c r="R6" s="532" t="s">
        <v>53</v>
      </c>
      <c r="S6" s="542" t="s">
        <v>70</v>
      </c>
      <c r="T6" s="538" t="s">
        <v>120</v>
      </c>
    </row>
    <row r="7" spans="1:20" ht="15.75" customHeight="1">
      <c r="A7" s="467"/>
      <c r="B7" s="467"/>
      <c r="C7" s="529" t="s">
        <v>118</v>
      </c>
      <c r="D7" s="535" t="s">
        <v>1</v>
      </c>
      <c r="E7" s="534" t="s">
        <v>2</v>
      </c>
      <c r="F7" s="532" t="s">
        <v>52</v>
      </c>
      <c r="G7" s="527" t="s">
        <v>75</v>
      </c>
      <c r="H7" s="527" t="s">
        <v>132</v>
      </c>
      <c r="I7" s="527" t="s">
        <v>110</v>
      </c>
      <c r="J7" s="528" t="s">
        <v>59</v>
      </c>
      <c r="K7" s="527" t="s">
        <v>11</v>
      </c>
      <c r="L7" s="527" t="s">
        <v>10</v>
      </c>
      <c r="M7" s="536" t="s">
        <v>134</v>
      </c>
      <c r="N7" s="536" t="s">
        <v>144</v>
      </c>
      <c r="O7" s="528" t="s">
        <v>190</v>
      </c>
      <c r="P7" s="528" t="s">
        <v>189</v>
      </c>
      <c r="Q7" s="542" t="s">
        <v>188</v>
      </c>
      <c r="R7" s="541"/>
      <c r="S7" s="541"/>
      <c r="T7" s="539"/>
    </row>
    <row r="8" spans="1:20" ht="35.25" customHeight="1">
      <c r="A8" s="467"/>
      <c r="B8" s="467"/>
      <c r="C8" s="530"/>
      <c r="D8" s="535"/>
      <c r="E8" s="534"/>
      <c r="F8" s="533"/>
      <c r="G8" s="526"/>
      <c r="H8" s="537"/>
      <c r="I8" s="526"/>
      <c r="J8" s="528"/>
      <c r="K8" s="526"/>
      <c r="L8" s="526"/>
      <c r="M8" s="534"/>
      <c r="N8" s="534"/>
      <c r="O8" s="528"/>
      <c r="P8" s="528"/>
      <c r="Q8" s="543"/>
      <c r="R8" s="533"/>
      <c r="S8" s="533"/>
      <c r="T8" s="540"/>
    </row>
    <row r="9" spans="1:20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>
        <f>'Anne-6'!G9</f>
        <v>0</v>
      </c>
      <c r="H9" s="8">
        <f>'Anne-6'!S9+'Anne-7'!I9</f>
        <v>0</v>
      </c>
      <c r="I9" s="8">
        <f>'Anne-6'!I9</f>
        <v>0</v>
      </c>
      <c r="J9" s="8">
        <f>'Anne-7'!J9</f>
        <v>0</v>
      </c>
      <c r="K9" s="8">
        <f>'Anne-6'!N9</f>
        <v>0</v>
      </c>
      <c r="L9" s="9">
        <f>'Anne-6'!K9</f>
        <v>0</v>
      </c>
      <c r="M9" s="8">
        <f>'Anne-6'!V9</f>
        <v>0</v>
      </c>
      <c r="N9" s="35">
        <f>'Anne-6'!W9</f>
        <v>0</v>
      </c>
      <c r="O9" s="8">
        <f>'Anne-7'!L9</f>
        <v>0</v>
      </c>
      <c r="P9" s="8"/>
      <c r="Q9" s="35"/>
      <c r="R9" s="35">
        <f>G9+H9+I9+J9+K9+L9+Q9+P9+O9+M9+N9</f>
        <v>0</v>
      </c>
      <c r="S9" s="36">
        <f aca="true" t="shared" si="0" ref="S9:S34">R9+F9</f>
        <v>0</v>
      </c>
      <c r="T9" s="55"/>
    </row>
    <row r="10" spans="1:23" ht="13.5" customHeight="1">
      <c r="A10" s="5">
        <v>2</v>
      </c>
      <c r="B10" s="6" t="s">
        <v>22</v>
      </c>
      <c r="C10" s="85">
        <v>3</v>
      </c>
      <c r="D10" s="25">
        <f>'Anne-6'!D10+'Anne-7'!F10</f>
        <v>9257286</v>
      </c>
      <c r="E10" s="8"/>
      <c r="F10" s="8">
        <f>D10+E10</f>
        <v>9257286</v>
      </c>
      <c r="G10" s="10">
        <f>'Anne-6'!G10</f>
        <v>17884934</v>
      </c>
      <c r="H10" s="8">
        <f>'Anne-6'!S10+'Anne-7'!I10</f>
        <v>6778745</v>
      </c>
      <c r="I10" s="8">
        <f>'Anne-6'!I10</f>
        <v>5688911</v>
      </c>
      <c r="J10" s="8">
        <f>'Anne-7'!J10</f>
        <v>6659964</v>
      </c>
      <c r="K10" s="8">
        <f>'Anne-6'!N10</f>
        <v>10838496</v>
      </c>
      <c r="L10" s="9">
        <f>'Anne-6'!K10</f>
        <v>1802320</v>
      </c>
      <c r="M10" s="8">
        <f>'Anne-6'!V10</f>
        <v>4226266</v>
      </c>
      <c r="N10" s="35">
        <f>'Anne-6'!W10</f>
        <v>0</v>
      </c>
      <c r="O10" s="8">
        <f>'Anne-7'!L10</f>
        <v>637894</v>
      </c>
      <c r="P10" s="8"/>
      <c r="Q10" s="35"/>
      <c r="R10" s="35">
        <f aca="true" t="shared" si="1" ref="R10:R37">G10+H10+I10+J10+K10+L10+Q10+P10+O10+M10+N10</f>
        <v>54517530</v>
      </c>
      <c r="S10" s="36">
        <f t="shared" si="0"/>
        <v>63774816</v>
      </c>
      <c r="T10" s="141">
        <f>D10/S10*100</f>
        <v>14.51558245185686</v>
      </c>
      <c r="W10" s="2">
        <v>9.898448680720525</v>
      </c>
    </row>
    <row r="11" spans="1:23" ht="16.5" customHeight="1">
      <c r="A11" s="5">
        <v>3</v>
      </c>
      <c r="B11" s="6" t="s">
        <v>23</v>
      </c>
      <c r="C11" s="85">
        <v>5</v>
      </c>
      <c r="D11" s="25">
        <f>'Anne-6'!D11+'Anne-7'!F11</f>
        <v>1230918</v>
      </c>
      <c r="E11" s="8"/>
      <c r="F11" s="8">
        <f aca="true" t="shared" si="2" ref="F11:F37">D11+E11</f>
        <v>1230918</v>
      </c>
      <c r="G11" s="10">
        <f>'Anne-6'!G11</f>
        <v>3851324</v>
      </c>
      <c r="H11" s="8">
        <f>'Anne-6'!S11+'Anne-7'!I11</f>
        <v>3048336</v>
      </c>
      <c r="I11" s="8">
        <f>'Anne-6'!I11</f>
        <v>2208121</v>
      </c>
      <c r="J11" s="8">
        <f>'Anne-7'!J11</f>
        <v>0</v>
      </c>
      <c r="K11" s="8">
        <f>'Anne-6'!N11</f>
        <v>382840</v>
      </c>
      <c r="L11" s="9">
        <f>'Anne-6'!K11</f>
        <v>3550416</v>
      </c>
      <c r="M11" s="8">
        <f>'Anne-6'!V11</f>
        <v>776</v>
      </c>
      <c r="N11" s="35">
        <f>'Anne-6'!W11</f>
        <v>0</v>
      </c>
      <c r="O11" s="8">
        <f>'Anne-7'!L11</f>
        <v>1280</v>
      </c>
      <c r="P11" s="8"/>
      <c r="Q11" s="35"/>
      <c r="R11" s="35">
        <f t="shared" si="1"/>
        <v>13043093</v>
      </c>
      <c r="S11" s="36">
        <f t="shared" si="0"/>
        <v>14274011</v>
      </c>
      <c r="T11" s="141">
        <f>D11/S11*100</f>
        <v>8.623490622222443</v>
      </c>
      <c r="W11" s="2">
        <v>13.041515395121522</v>
      </c>
    </row>
    <row r="12" spans="1:23" ht="15">
      <c r="A12" s="5">
        <v>4</v>
      </c>
      <c r="B12" s="6" t="s">
        <v>24</v>
      </c>
      <c r="C12" s="85">
        <v>4</v>
      </c>
      <c r="D12" s="25">
        <f>'Anne-6'!D12+'Anne-7'!F12</f>
        <v>5975541</v>
      </c>
      <c r="E12" s="8"/>
      <c r="F12" s="8">
        <f t="shared" si="2"/>
        <v>5975541</v>
      </c>
      <c r="G12" s="10">
        <f>'Anne-6'!G12</f>
        <v>18798853</v>
      </c>
      <c r="H12" s="8">
        <f>'Anne-6'!S12+'Anne-7'!I12</f>
        <v>9205292</v>
      </c>
      <c r="I12" s="8">
        <f>'Anne-6'!I12</f>
        <v>6381973</v>
      </c>
      <c r="J12" s="8">
        <f>'Anne-7'!J12</f>
        <v>3745212</v>
      </c>
      <c r="K12" s="8">
        <f>'Anne-6'!N12</f>
        <v>5587271</v>
      </c>
      <c r="L12" s="9">
        <f>'Anne-6'!K12</f>
        <v>4767543</v>
      </c>
      <c r="M12" s="8">
        <f>'Anne-6'!V12</f>
        <v>4750129</v>
      </c>
      <c r="N12" s="35">
        <f>'Anne-6'!W12</f>
        <v>18596</v>
      </c>
      <c r="O12" s="8">
        <f>'Anne-7'!L12</f>
        <v>1314278</v>
      </c>
      <c r="P12" s="8"/>
      <c r="Q12" s="35"/>
      <c r="R12" s="35">
        <f t="shared" si="1"/>
        <v>54569147</v>
      </c>
      <c r="S12" s="36">
        <f t="shared" si="0"/>
        <v>60544688</v>
      </c>
      <c r="T12" s="141">
        <f>D12/S12*100</f>
        <v>9.86963711828856</v>
      </c>
      <c r="W12" s="2">
        <v>12.823562634511095</v>
      </c>
    </row>
    <row r="13" spans="1:23" ht="15">
      <c r="A13" s="5">
        <v>5</v>
      </c>
      <c r="B13" s="6" t="s">
        <v>25</v>
      </c>
      <c r="C13" s="85"/>
      <c r="D13" s="25">
        <f>'Anne-6'!D13+'Anne-7'!F13</f>
        <v>0</v>
      </c>
      <c r="E13" s="8"/>
      <c r="F13" s="8">
        <f t="shared" si="2"/>
        <v>0</v>
      </c>
      <c r="G13" s="10">
        <f>'Anne-6'!G13</f>
        <v>0</v>
      </c>
      <c r="H13" s="8">
        <f>'Anne-6'!S13+'Anne-7'!I13</f>
        <v>0</v>
      </c>
      <c r="I13" s="8">
        <f>'Anne-6'!I13</f>
        <v>0</v>
      </c>
      <c r="J13" s="8">
        <f>'Anne-7'!J13</f>
        <v>0</v>
      </c>
      <c r="K13" s="8">
        <f>'Anne-6'!N13</f>
        <v>0</v>
      </c>
      <c r="L13" s="9">
        <f>'Anne-6'!K13</f>
        <v>0</v>
      </c>
      <c r="M13" s="8">
        <f>'Anne-6'!V13</f>
        <v>0</v>
      </c>
      <c r="N13" s="35">
        <f>'Anne-6'!W13</f>
        <v>0</v>
      </c>
      <c r="O13" s="8">
        <f>'Anne-7'!L13</f>
        <v>0</v>
      </c>
      <c r="P13" s="8"/>
      <c r="Q13" s="35"/>
      <c r="R13" s="35">
        <f t="shared" si="1"/>
        <v>0</v>
      </c>
      <c r="S13" s="36">
        <f t="shared" si="0"/>
        <v>0</v>
      </c>
      <c r="T13" s="141"/>
      <c r="W13" s="2">
        <v>10.085041212379718</v>
      </c>
    </row>
    <row r="14" spans="1:23" ht="15">
      <c r="A14" s="5">
        <v>6</v>
      </c>
      <c r="B14" s="6" t="s">
        <v>26</v>
      </c>
      <c r="C14" s="85">
        <v>6</v>
      </c>
      <c r="D14" s="25">
        <f>'Anne-6'!D14+'Anne-7'!F14</f>
        <v>4265027</v>
      </c>
      <c r="E14" s="8"/>
      <c r="F14" s="8">
        <f t="shared" si="2"/>
        <v>4265027</v>
      </c>
      <c r="G14" s="10">
        <f>'Anne-6'!G14</f>
        <v>6983467</v>
      </c>
      <c r="H14" s="8">
        <f>'Anne-6'!S14+'Anne-7'!I14</f>
        <v>6723250</v>
      </c>
      <c r="I14" s="8">
        <f>'Anne-6'!I14</f>
        <v>15811116</v>
      </c>
      <c r="J14" s="8">
        <f>'Anne-7'!J14</f>
        <v>2956176</v>
      </c>
      <c r="K14" s="8">
        <f>'Anne-6'!N14</f>
        <v>8226195</v>
      </c>
      <c r="L14" s="9">
        <f>'Anne-6'!K14</f>
        <v>294655</v>
      </c>
      <c r="M14" s="8">
        <f>'Anne-6'!V14</f>
        <v>4650839</v>
      </c>
      <c r="N14" s="35">
        <f>'Anne-6'!W14</f>
        <v>618785</v>
      </c>
      <c r="O14" s="8">
        <f>'Anne-7'!L14</f>
        <v>224103</v>
      </c>
      <c r="P14" s="8"/>
      <c r="Q14" s="35"/>
      <c r="R14" s="35">
        <f t="shared" si="1"/>
        <v>46488586</v>
      </c>
      <c r="S14" s="36">
        <f t="shared" si="0"/>
        <v>50753613</v>
      </c>
      <c r="T14" s="141">
        <f>D14/S14*100</f>
        <v>8.403395833120294</v>
      </c>
      <c r="W14" s="2">
        <v>18.210636334802775</v>
      </c>
    </row>
    <row r="15" spans="1:23" ht="15">
      <c r="A15" s="5">
        <v>7</v>
      </c>
      <c r="B15" s="6" t="s">
        <v>27</v>
      </c>
      <c r="C15" s="85">
        <v>3</v>
      </c>
      <c r="D15" s="25">
        <f>'Anne-6'!D15+'Anne-7'!F15</f>
        <v>3052798</v>
      </c>
      <c r="E15" s="8"/>
      <c r="F15" s="8">
        <f t="shared" si="2"/>
        <v>3052798</v>
      </c>
      <c r="G15" s="10">
        <f>'Anne-6'!G15</f>
        <v>2260697</v>
      </c>
      <c r="H15" s="8">
        <f>'Anne-6'!S15+'Anne-7'!I15</f>
        <v>2127552</v>
      </c>
      <c r="I15" s="8">
        <f>'Anne-6'!I15</f>
        <v>4460102</v>
      </c>
      <c r="J15" s="8">
        <f>'Anne-7'!J15</f>
        <v>2667699</v>
      </c>
      <c r="K15" s="8">
        <f>'Anne-6'!N15</f>
        <v>3614670</v>
      </c>
      <c r="L15" s="9">
        <f>'Anne-6'!K15</f>
        <v>185758</v>
      </c>
      <c r="M15" s="8">
        <f>'Anne-6'!V15</f>
        <v>405</v>
      </c>
      <c r="N15" s="35">
        <f>'Anne-6'!W15</f>
        <v>794797</v>
      </c>
      <c r="O15" s="8">
        <f>'Anne-7'!L15</f>
        <v>147716</v>
      </c>
      <c r="P15" s="8"/>
      <c r="Q15" s="35"/>
      <c r="R15" s="35">
        <f t="shared" si="1"/>
        <v>16259396</v>
      </c>
      <c r="S15" s="36">
        <f t="shared" si="0"/>
        <v>19312194</v>
      </c>
      <c r="T15" s="141">
        <f>D15/S15*100</f>
        <v>15.807618751137234</v>
      </c>
      <c r="U15" s="23"/>
      <c r="V15" s="23"/>
      <c r="W15" s="2">
        <v>25.596780822618488</v>
      </c>
    </row>
    <row r="16" spans="1:23" ht="15">
      <c r="A16" s="5">
        <v>8</v>
      </c>
      <c r="B16" s="6" t="s">
        <v>81</v>
      </c>
      <c r="C16" s="85">
        <v>2</v>
      </c>
      <c r="D16" s="25">
        <f>'Anne-6'!D16+'Anne-7'!F16</f>
        <v>1601048</v>
      </c>
      <c r="E16" s="8"/>
      <c r="F16" s="8">
        <f t="shared" si="2"/>
        <v>1601048</v>
      </c>
      <c r="G16" s="10">
        <f>'Anne-6'!G16</f>
        <v>1914645</v>
      </c>
      <c r="H16" s="8">
        <f>'Anne-6'!S16+'Anne-7'!I16</f>
        <v>1466812</v>
      </c>
      <c r="I16" s="8">
        <f>'Anne-6'!I16</f>
        <v>476232</v>
      </c>
      <c r="J16" s="8">
        <f>'Anne-7'!J16</f>
        <v>190353</v>
      </c>
      <c r="K16" s="8">
        <f>'Anne-6'!N16</f>
        <v>448972</v>
      </c>
      <c r="L16" s="9">
        <f>'Anne-6'!K16</f>
        <v>699378</v>
      </c>
      <c r="M16" s="8">
        <f>'Anne-6'!V16</f>
        <v>143</v>
      </c>
      <c r="N16" s="35">
        <f>'Anne-6'!W16</f>
        <v>0</v>
      </c>
      <c r="O16" s="8">
        <f>'Anne-7'!L16</f>
        <v>71</v>
      </c>
      <c r="P16" s="8"/>
      <c r="Q16" s="35"/>
      <c r="R16" s="35">
        <f t="shared" si="1"/>
        <v>5196606</v>
      </c>
      <c r="S16" s="36">
        <f t="shared" si="0"/>
        <v>6797654</v>
      </c>
      <c r="T16" s="141">
        <f>D16/S16*100</f>
        <v>23.552949296919202</v>
      </c>
      <c r="U16" s="23"/>
      <c r="W16" s="2">
        <v>17.56694320474712</v>
      </c>
    </row>
    <row r="17" spans="1:23" ht="15">
      <c r="A17" s="5">
        <v>9</v>
      </c>
      <c r="B17" s="6" t="s">
        <v>82</v>
      </c>
      <c r="C17" s="85">
        <v>3</v>
      </c>
      <c r="D17" s="25">
        <f>'Anne-6'!D17+'Anne-7'!F17</f>
        <v>1162539</v>
      </c>
      <c r="E17" s="8"/>
      <c r="F17" s="8">
        <f t="shared" si="2"/>
        <v>1162539</v>
      </c>
      <c r="G17" s="10">
        <f>'Anne-6'!G17</f>
        <v>2320283</v>
      </c>
      <c r="H17" s="8">
        <f>'Anne-6'!S17+'Anne-7'!I17</f>
        <v>606341</v>
      </c>
      <c r="I17" s="8">
        <f>'Anne-6'!I17</f>
        <v>610925</v>
      </c>
      <c r="J17" s="8">
        <f>'Anne-7'!J17</f>
        <v>0</v>
      </c>
      <c r="K17" s="8">
        <f>'Anne-6'!N17</f>
        <v>208269</v>
      </c>
      <c r="L17" s="9">
        <f>'Anne-6'!K17</f>
        <v>1808200</v>
      </c>
      <c r="M17" s="8">
        <f>'Anne-6'!V17</f>
        <v>312</v>
      </c>
      <c r="N17" s="35">
        <f>'Anne-6'!W17</f>
        <v>0</v>
      </c>
      <c r="O17" s="8">
        <f>'Anne-7'!L17</f>
        <v>21</v>
      </c>
      <c r="P17" s="8"/>
      <c r="Q17" s="35"/>
      <c r="R17" s="35">
        <f t="shared" si="1"/>
        <v>5554351</v>
      </c>
      <c r="S17" s="36">
        <f t="shared" si="0"/>
        <v>6716890</v>
      </c>
      <c r="T17" s="141">
        <f>D17/S17*100</f>
        <v>17.30769746117623</v>
      </c>
      <c r="V17" s="23"/>
      <c r="W17" s="2">
        <v>10.615533963378411</v>
      </c>
    </row>
    <row r="18" spans="1:23" ht="15">
      <c r="A18" s="5">
        <v>10</v>
      </c>
      <c r="B18" s="6" t="s">
        <v>30</v>
      </c>
      <c r="C18" s="85"/>
      <c r="D18" s="25">
        <f>'Anne-6'!D18+'Anne-7'!F18</f>
        <v>0</v>
      </c>
      <c r="E18" s="8"/>
      <c r="F18" s="8">
        <f t="shared" si="2"/>
        <v>0</v>
      </c>
      <c r="G18" s="10">
        <f>'Anne-6'!G18</f>
        <v>0</v>
      </c>
      <c r="H18" s="8">
        <f>'Anne-6'!S18+'Anne-7'!I18</f>
        <v>0</v>
      </c>
      <c r="I18" s="8">
        <f>'Anne-6'!I18</f>
        <v>0</v>
      </c>
      <c r="J18" s="8">
        <f>'Anne-7'!J18</f>
        <v>0</v>
      </c>
      <c r="K18" s="8">
        <f>'Anne-6'!N18</f>
        <v>0</v>
      </c>
      <c r="L18" s="9">
        <f>'Anne-6'!K18</f>
        <v>0</v>
      </c>
      <c r="M18" s="8">
        <f>'Anne-6'!V18</f>
        <v>0</v>
      </c>
      <c r="N18" s="35">
        <f>'Anne-6'!W18</f>
        <v>0</v>
      </c>
      <c r="O18" s="8">
        <f>'Anne-7'!L18</f>
        <v>0</v>
      </c>
      <c r="P18" s="8"/>
      <c r="Q18" s="35"/>
      <c r="R18" s="35">
        <f t="shared" si="1"/>
        <v>0</v>
      </c>
      <c r="S18" s="36">
        <f t="shared" si="0"/>
        <v>0</v>
      </c>
      <c r="T18" s="141"/>
      <c r="W18" s="2">
        <v>17.20293779955842</v>
      </c>
    </row>
    <row r="19" spans="1:23" ht="15">
      <c r="A19" s="5">
        <v>11</v>
      </c>
      <c r="B19" s="6" t="s">
        <v>31</v>
      </c>
      <c r="C19" s="85">
        <v>2</v>
      </c>
      <c r="D19" s="25">
        <f>'Anne-6'!D19+'Anne-7'!F19</f>
        <v>7022983</v>
      </c>
      <c r="E19" s="8"/>
      <c r="F19" s="8">
        <f t="shared" si="2"/>
        <v>7022983</v>
      </c>
      <c r="G19" s="10">
        <f>'Anne-6'!G19</f>
        <v>16005226</v>
      </c>
      <c r="H19" s="8">
        <f>'Anne-6'!S19+'Anne-7'!I19</f>
        <v>6422020</v>
      </c>
      <c r="I19" s="8">
        <f>'Anne-6'!I19</f>
        <v>6578801</v>
      </c>
      <c r="J19" s="8">
        <f>'Anne-7'!J19</f>
        <v>6020557</v>
      </c>
      <c r="K19" s="8">
        <f>'Anne-6'!N19</f>
        <v>6070121</v>
      </c>
      <c r="L19" s="9">
        <f>'Anne-6'!K19</f>
        <v>1563895</v>
      </c>
      <c r="M19" s="8">
        <f>'Anne-6'!V19</f>
        <v>686045</v>
      </c>
      <c r="N19" s="35">
        <f>'Anne-6'!W19</f>
        <v>0</v>
      </c>
      <c r="O19" s="8">
        <f>'Anne-7'!L19</f>
        <v>2137127</v>
      </c>
      <c r="P19" s="8"/>
      <c r="Q19" s="35"/>
      <c r="R19" s="35">
        <f t="shared" si="1"/>
        <v>45483792</v>
      </c>
      <c r="S19" s="36">
        <f t="shared" si="0"/>
        <v>52506775</v>
      </c>
      <c r="T19" s="141">
        <f>D19/S19*100</f>
        <v>13.375384414677916</v>
      </c>
      <c r="V19" s="23"/>
      <c r="W19" s="2">
        <v>13.102763575654794</v>
      </c>
    </row>
    <row r="20" spans="1:23" ht="15">
      <c r="A20" s="5">
        <v>12</v>
      </c>
      <c r="B20" s="6" t="s">
        <v>32</v>
      </c>
      <c r="C20" s="85">
        <v>2</v>
      </c>
      <c r="D20" s="25">
        <f>'Anne-6'!D20+'Anne-7'!F20</f>
        <v>7666262</v>
      </c>
      <c r="E20" s="8"/>
      <c r="F20" s="8">
        <f t="shared" si="2"/>
        <v>7666262</v>
      </c>
      <c r="G20" s="10">
        <f>'Anne-6'!G20</f>
        <v>3464751</v>
      </c>
      <c r="H20" s="8">
        <f>'Anne-6'!S20+'Anne-7'!I20</f>
        <v>2886400</v>
      </c>
      <c r="I20" s="8">
        <f>'Anne-6'!I20</f>
        <v>6099518</v>
      </c>
      <c r="J20" s="8">
        <f>'Anne-7'!J20</f>
        <v>1896682</v>
      </c>
      <c r="K20" s="8">
        <f>'Anne-6'!N20</f>
        <v>7869341</v>
      </c>
      <c r="L20" s="9">
        <f>'Anne-6'!K20</f>
        <v>354883</v>
      </c>
      <c r="M20" s="8">
        <f>'Anne-6'!V20</f>
        <v>263745</v>
      </c>
      <c r="N20" s="35">
        <f>'Anne-6'!W20</f>
        <v>0</v>
      </c>
      <c r="O20" s="8">
        <f>'Anne-7'!L20</f>
        <v>501620</v>
      </c>
      <c r="P20" s="8"/>
      <c r="Q20" s="35"/>
      <c r="R20" s="35">
        <f t="shared" si="1"/>
        <v>23336940</v>
      </c>
      <c r="S20" s="36">
        <f t="shared" si="0"/>
        <v>31003202</v>
      </c>
      <c r="T20" s="141">
        <f>D20/S20*100</f>
        <v>24.72732332615192</v>
      </c>
      <c r="W20" s="2">
        <v>11.476392817874025</v>
      </c>
    </row>
    <row r="21" spans="1:23" ht="15">
      <c r="A21" s="5">
        <v>13</v>
      </c>
      <c r="B21" s="6" t="s">
        <v>83</v>
      </c>
      <c r="C21" s="85">
        <v>4</v>
      </c>
      <c r="D21" s="25">
        <f>'Anne-6'!D21+'Anne-7'!F21</f>
        <v>5140167</v>
      </c>
      <c r="E21" s="8"/>
      <c r="F21" s="8">
        <f t="shared" si="2"/>
        <v>5140167</v>
      </c>
      <c r="G21" s="10">
        <f>'Anne-6'!G21</f>
        <v>9796757</v>
      </c>
      <c r="H21" s="8">
        <f>'Anne-6'!S21+'Anne-7'!I21</f>
        <v>11585308</v>
      </c>
      <c r="I21" s="8">
        <f>'Anne-6'!I21</f>
        <v>3966891</v>
      </c>
      <c r="J21" s="8">
        <f>'Anne-7'!J21</f>
        <v>3896930</v>
      </c>
      <c r="K21" s="8">
        <f>'Anne-6'!N21</f>
        <v>14991810</v>
      </c>
      <c r="L21" s="9">
        <f>'Anne-6'!K21</f>
        <v>653287</v>
      </c>
      <c r="M21" s="8">
        <f>'Anne-6'!V21</f>
        <v>1255</v>
      </c>
      <c r="N21" s="35">
        <f>'Anne-6'!W21</f>
        <v>806625</v>
      </c>
      <c r="O21" s="8">
        <f>'Anne-7'!L21</f>
        <v>3153</v>
      </c>
      <c r="P21" s="8"/>
      <c r="Q21" s="35"/>
      <c r="R21" s="35">
        <f t="shared" si="1"/>
        <v>45702016</v>
      </c>
      <c r="S21" s="36">
        <f t="shared" si="0"/>
        <v>50842183</v>
      </c>
      <c r="T21" s="141">
        <f>D21/S21*100</f>
        <v>10.11004385865965</v>
      </c>
      <c r="W21" s="2">
        <v>20.199704323097638</v>
      </c>
    </row>
    <row r="22" spans="1:23" ht="15">
      <c r="A22" s="5">
        <v>14</v>
      </c>
      <c r="B22" s="6" t="s">
        <v>34</v>
      </c>
      <c r="C22" s="85">
        <v>5</v>
      </c>
      <c r="D22" s="25">
        <f>'Anne-6'!D22+'Anne-7'!F22</f>
        <v>6737300</v>
      </c>
      <c r="E22" s="8"/>
      <c r="F22" s="8">
        <f t="shared" si="2"/>
        <v>6737300</v>
      </c>
      <c r="G22" s="10">
        <f>'Anne-6'!G22</f>
        <v>9930085</v>
      </c>
      <c r="H22" s="8">
        <f>'Anne-6'!S22+'Anne-7'!I22</f>
        <v>7731522</v>
      </c>
      <c r="I22" s="8">
        <f>'Anne-6'!I22</f>
        <v>13074351</v>
      </c>
      <c r="J22" s="8">
        <f>'Anne-7'!J22</f>
        <v>6340285</v>
      </c>
      <c r="K22" s="8">
        <f>'Anne-6'!N22</f>
        <v>15840410</v>
      </c>
      <c r="L22" s="9">
        <f>'Anne-6'!K22</f>
        <v>1134782</v>
      </c>
      <c r="M22" s="8">
        <f>'Anne-6'!V22</f>
        <v>5502934</v>
      </c>
      <c r="N22" s="35">
        <f>'Anne-6'!W22</f>
        <v>0</v>
      </c>
      <c r="O22" s="8">
        <f>'Anne-7'!L22</f>
        <v>651414</v>
      </c>
      <c r="P22" s="8"/>
      <c r="Q22" s="35"/>
      <c r="R22" s="35">
        <f t="shared" si="1"/>
        <v>60205783</v>
      </c>
      <c r="S22" s="36">
        <f t="shared" si="0"/>
        <v>66943083</v>
      </c>
      <c r="T22" s="141">
        <f>D22/S22*100</f>
        <v>10.064221272868476</v>
      </c>
      <c r="W22" s="2">
        <v>16.415438804006907</v>
      </c>
    </row>
    <row r="23" spans="1:23" ht="15">
      <c r="A23" s="5">
        <v>15</v>
      </c>
      <c r="B23" s="6" t="s">
        <v>35</v>
      </c>
      <c r="C23" s="85">
        <v>3</v>
      </c>
      <c r="D23" s="25">
        <f>'Anne-6'!D23+'Anne-7'!F23</f>
        <v>1733524</v>
      </c>
      <c r="E23" s="8"/>
      <c r="F23" s="8">
        <f t="shared" si="2"/>
        <v>1733524</v>
      </c>
      <c r="G23" s="10">
        <f>'Anne-6'!G23</f>
        <v>2610008</v>
      </c>
      <c r="H23" s="8">
        <f>'Anne-6'!S23+'Anne-7'!I23</f>
        <v>836595</v>
      </c>
      <c r="I23" s="8">
        <f>'Anne-6'!I23</f>
        <v>939346</v>
      </c>
      <c r="J23" s="8">
        <f>'Anne-7'!J23</f>
        <v>0</v>
      </c>
      <c r="K23" s="8">
        <f>'Anne-6'!N23</f>
        <v>267417</v>
      </c>
      <c r="L23" s="9">
        <f>'Anne-6'!K23</f>
        <v>2338464</v>
      </c>
      <c r="M23" s="8">
        <f>'Anne-6'!V23</f>
        <v>90</v>
      </c>
      <c r="N23" s="35">
        <f>'Anne-6'!W23</f>
        <v>0</v>
      </c>
      <c r="O23" s="8">
        <f>'Anne-7'!L23</f>
        <v>151</v>
      </c>
      <c r="P23" s="8"/>
      <c r="Q23" s="35"/>
      <c r="R23" s="35">
        <f t="shared" si="1"/>
        <v>6992071</v>
      </c>
      <c r="S23" s="36">
        <f t="shared" si="0"/>
        <v>8725595</v>
      </c>
      <c r="T23" s="141">
        <f>D23/S23*100</f>
        <v>19.867115079258205</v>
      </c>
      <c r="W23" s="2">
        <v>18.233066796837388</v>
      </c>
    </row>
    <row r="24" spans="1:23" ht="15">
      <c r="A24" s="5">
        <v>16</v>
      </c>
      <c r="B24" s="6" t="s">
        <v>36</v>
      </c>
      <c r="C24" s="85"/>
      <c r="D24" s="25">
        <f>'Anne-6'!D24+'Anne-7'!F24</f>
        <v>0</v>
      </c>
      <c r="E24" s="8"/>
      <c r="F24" s="8">
        <f>D24+E24</f>
        <v>0</v>
      </c>
      <c r="G24" s="10">
        <f>'Anne-6'!G24</f>
        <v>0</v>
      </c>
      <c r="H24" s="8">
        <f>'Anne-6'!S24+'Anne-7'!I24</f>
        <v>0</v>
      </c>
      <c r="I24" s="8">
        <f>'Anne-6'!I24</f>
        <v>0</v>
      </c>
      <c r="J24" s="8">
        <f>'Anne-7'!J24</f>
        <v>0</v>
      </c>
      <c r="K24" s="8">
        <f>'Anne-6'!N24</f>
        <v>0</v>
      </c>
      <c r="L24" s="9">
        <f>'Anne-6'!K24</f>
        <v>0</v>
      </c>
      <c r="M24" s="8">
        <f>'Anne-6'!V24</f>
        <v>0</v>
      </c>
      <c r="N24" s="35">
        <f>'Anne-6'!W24</f>
        <v>0</v>
      </c>
      <c r="O24" s="8">
        <f>'Anne-7'!L24</f>
        <v>0</v>
      </c>
      <c r="P24" s="8"/>
      <c r="Q24" s="35"/>
      <c r="R24" s="35">
        <f t="shared" si="1"/>
        <v>0</v>
      </c>
      <c r="S24" s="36">
        <f t="shared" si="0"/>
        <v>0</v>
      </c>
      <c r="T24" s="141"/>
      <c r="W24" s="2">
        <v>13.323404116715686</v>
      </c>
    </row>
    <row r="25" spans="1:23" ht="15">
      <c r="A25" s="5">
        <v>17</v>
      </c>
      <c r="B25" s="6" t="s">
        <v>37</v>
      </c>
      <c r="C25" s="85">
        <v>2</v>
      </c>
      <c r="D25" s="25">
        <f>'Anne-6'!D25+'Anne-7'!F25</f>
        <v>4470678</v>
      </c>
      <c r="E25" s="8"/>
      <c r="F25" s="8">
        <f t="shared" si="2"/>
        <v>4470678</v>
      </c>
      <c r="G25" s="10">
        <f>'Anne-6'!G25</f>
        <v>6756065</v>
      </c>
      <c r="H25" s="8">
        <f>'Anne-6'!S25+'Anne-7'!I25</f>
        <v>3664119</v>
      </c>
      <c r="I25" s="8">
        <f>'Anne-6'!I25</f>
        <v>2875352</v>
      </c>
      <c r="J25" s="8">
        <f>'Anne-7'!J25</f>
        <v>2142853</v>
      </c>
      <c r="K25" s="8">
        <f>'Anne-6'!N25</f>
        <v>963793</v>
      </c>
      <c r="L25" s="9">
        <f>'Anne-6'!K25</f>
        <v>2893967</v>
      </c>
      <c r="M25" s="8">
        <f>'Anne-6'!V25</f>
        <v>701887</v>
      </c>
      <c r="N25" s="35">
        <f>'Anne-6'!W25</f>
        <v>0</v>
      </c>
      <c r="O25" s="8">
        <f>'Anne-7'!L25</f>
        <v>787</v>
      </c>
      <c r="P25" s="8"/>
      <c r="Q25" s="35"/>
      <c r="R25" s="35">
        <f t="shared" si="1"/>
        <v>19998823</v>
      </c>
      <c r="S25" s="36">
        <f t="shared" si="0"/>
        <v>24469501</v>
      </c>
      <c r="T25" s="141">
        <f>D25/S25*100</f>
        <v>18.27040935571183</v>
      </c>
      <c r="W25" s="2">
        <v>11.157139831728973</v>
      </c>
    </row>
    <row r="26" spans="1:23" ht="15">
      <c r="A26" s="5">
        <v>18</v>
      </c>
      <c r="B26" s="6" t="s">
        <v>38</v>
      </c>
      <c r="C26" s="85">
        <v>3</v>
      </c>
      <c r="D26" s="25">
        <f>'Anne-6'!D26+'Anne-7'!F26</f>
        <v>4397239</v>
      </c>
      <c r="E26" s="8"/>
      <c r="F26" s="8">
        <f t="shared" si="2"/>
        <v>4397239</v>
      </c>
      <c r="G26" s="10">
        <f>'Anne-6'!G26</f>
        <v>6857498</v>
      </c>
      <c r="H26" s="8">
        <f>'Anne-6'!S26+'Anne-7'!I26</f>
        <v>2847712</v>
      </c>
      <c r="I26" s="8">
        <f>'Anne-6'!I26</f>
        <v>4329581</v>
      </c>
      <c r="J26" s="8">
        <f>'Anne-7'!J26</f>
        <v>2455289</v>
      </c>
      <c r="K26" s="8">
        <f>'Anne-6'!N26</f>
        <v>5565174</v>
      </c>
      <c r="L26" s="9">
        <f>'Anne-6'!K26</f>
        <v>972375</v>
      </c>
      <c r="M26" s="8">
        <f>'Anne-6'!V26</f>
        <v>411</v>
      </c>
      <c r="N26" s="35">
        <f>'Anne-6'!W26</f>
        <v>0</v>
      </c>
      <c r="O26" s="8">
        <f>'Anne-7'!L26</f>
        <v>1146</v>
      </c>
      <c r="P26" s="8">
        <f>'Anne-7'!K26</f>
        <v>1589812</v>
      </c>
      <c r="Q26" s="35"/>
      <c r="R26" s="35">
        <f t="shared" si="1"/>
        <v>24618998</v>
      </c>
      <c r="S26" s="36">
        <f t="shared" si="0"/>
        <v>29016237</v>
      </c>
      <c r="T26" s="141">
        <f>D26/S26*100</f>
        <v>15.154408202552247</v>
      </c>
      <c r="U26" s="23"/>
      <c r="W26" s="2">
        <v>18.621049879510213</v>
      </c>
    </row>
    <row r="27" spans="1:23" ht="15">
      <c r="A27" s="5">
        <v>19</v>
      </c>
      <c r="B27" s="6" t="s">
        <v>39</v>
      </c>
      <c r="C27" s="85">
        <v>3</v>
      </c>
      <c r="D27" s="25">
        <f>'Anne-6'!D27+'Anne-7'!F27</f>
        <v>5911845</v>
      </c>
      <c r="E27" s="8"/>
      <c r="F27" s="8">
        <f t="shared" si="2"/>
        <v>5911845</v>
      </c>
      <c r="G27" s="10">
        <f>'Anne-6'!G27</f>
        <v>14379504</v>
      </c>
      <c r="H27" s="8">
        <f>'Anne-6'!S27+'Anne-7'!I27</f>
        <v>5385665</v>
      </c>
      <c r="I27" s="8">
        <f>'Anne-6'!I27</f>
        <v>8637532</v>
      </c>
      <c r="J27" s="8">
        <f>'Anne-7'!J27</f>
        <v>2985998</v>
      </c>
      <c r="K27" s="8">
        <f>'Anne-6'!N27</f>
        <v>4674801</v>
      </c>
      <c r="L27" s="9">
        <f>'Anne-6'!K27</f>
        <v>2792442</v>
      </c>
      <c r="M27" s="8">
        <f>'Anne-6'!V27</f>
        <v>1032</v>
      </c>
      <c r="N27" s="35">
        <f>'Anne-6'!W27</f>
        <v>0</v>
      </c>
      <c r="O27" s="8">
        <f>'Anne-7'!L27</f>
        <v>2188875</v>
      </c>
      <c r="P27" s="8"/>
      <c r="Q27" s="35"/>
      <c r="R27" s="35">
        <f t="shared" si="1"/>
        <v>41045849</v>
      </c>
      <c r="S27" s="36">
        <f t="shared" si="0"/>
        <v>46957694</v>
      </c>
      <c r="T27" s="141">
        <f>D27/S27*100</f>
        <v>12.589725977600178</v>
      </c>
      <c r="U27" s="23"/>
      <c r="W27" s="2">
        <v>11.446058657568615</v>
      </c>
    </row>
    <row r="28" spans="1:23" ht="15">
      <c r="A28" s="5">
        <v>20</v>
      </c>
      <c r="B28" s="6" t="s">
        <v>40</v>
      </c>
      <c r="C28" s="85">
        <v>4</v>
      </c>
      <c r="D28" s="25">
        <f>'Anne-6'!D28+'Anne-7'!F28</f>
        <v>7899042</v>
      </c>
      <c r="E28" s="8"/>
      <c r="F28" s="8">
        <f t="shared" si="2"/>
        <v>7899042</v>
      </c>
      <c r="G28" s="10">
        <f>'Anne-6'!G28</f>
        <v>9704534</v>
      </c>
      <c r="H28" s="8">
        <f>'Anne-6'!S28+'Anne-7'!I28</f>
        <v>5711833</v>
      </c>
      <c r="I28" s="8">
        <f>'Anne-6'!I28</f>
        <v>9889964</v>
      </c>
      <c r="J28" s="8">
        <f>'Anne-7'!J28</f>
        <v>4102227</v>
      </c>
      <c r="K28" s="8">
        <f>'Anne-6'!N28</f>
        <v>2228730</v>
      </c>
      <c r="L28" s="9">
        <f>'Anne-6'!K28</f>
        <v>17555412</v>
      </c>
      <c r="M28" s="8">
        <f>'Anne-6'!V28</f>
        <v>505180</v>
      </c>
      <c r="N28" s="35">
        <f>'Anne-6'!W28</f>
        <v>0</v>
      </c>
      <c r="O28" s="8">
        <f>'Anne-7'!L28</f>
        <v>1227697</v>
      </c>
      <c r="P28" s="8"/>
      <c r="Q28" s="35"/>
      <c r="R28" s="35">
        <f t="shared" si="1"/>
        <v>50925577</v>
      </c>
      <c r="S28" s="36">
        <f t="shared" si="0"/>
        <v>58824619</v>
      </c>
      <c r="T28" s="141">
        <f>D28/S28*100</f>
        <v>13.428122670883766</v>
      </c>
      <c r="W28" s="2">
        <v>9.456205902479791</v>
      </c>
    </row>
    <row r="29" spans="1:23" ht="15">
      <c r="A29" s="5">
        <v>21</v>
      </c>
      <c r="B29" s="6" t="s">
        <v>41</v>
      </c>
      <c r="C29" s="85"/>
      <c r="D29" s="25">
        <f>'Anne-6'!D29+'Anne-7'!F29</f>
        <v>0</v>
      </c>
      <c r="E29" s="8"/>
      <c r="F29" s="8">
        <f t="shared" si="2"/>
        <v>0</v>
      </c>
      <c r="G29" s="10">
        <f>'Anne-6'!G29</f>
        <v>0</v>
      </c>
      <c r="H29" s="8">
        <f>'Anne-6'!S29+'Anne-7'!I29</f>
        <v>0</v>
      </c>
      <c r="I29" s="8">
        <f>'Anne-6'!I29</f>
        <v>0</v>
      </c>
      <c r="J29" s="8">
        <f>'Anne-7'!J29</f>
        <v>0</v>
      </c>
      <c r="K29" s="8">
        <f>'Anne-6'!N29</f>
        <v>0</v>
      </c>
      <c r="L29" s="9">
        <f>'Anne-6'!K29</f>
        <v>0</v>
      </c>
      <c r="M29" s="8">
        <f>'Anne-6'!V29</f>
        <v>0</v>
      </c>
      <c r="N29" s="35">
        <f>'Anne-6'!W29</f>
        <v>0</v>
      </c>
      <c r="O29" s="8">
        <f>'Anne-7'!L29</f>
        <v>0</v>
      </c>
      <c r="P29" s="8"/>
      <c r="Q29" s="35"/>
      <c r="R29" s="35">
        <f t="shared" si="1"/>
        <v>0</v>
      </c>
      <c r="S29" s="36">
        <f t="shared" si="0"/>
        <v>0</v>
      </c>
      <c r="T29" s="141"/>
      <c r="W29" s="2">
        <v>11.207944897028229</v>
      </c>
    </row>
    <row r="30" spans="1:23" ht="15">
      <c r="A30" s="5">
        <v>22</v>
      </c>
      <c r="B30" s="6" t="s">
        <v>84</v>
      </c>
      <c r="C30" s="85">
        <v>3</v>
      </c>
      <c r="D30" s="25">
        <f>'Anne-6'!D30+'Anne-7'!F30</f>
        <v>10303309</v>
      </c>
      <c r="E30" s="8"/>
      <c r="F30" s="8">
        <f t="shared" si="2"/>
        <v>10303309</v>
      </c>
      <c r="G30" s="10">
        <f>'Anne-6'!G30</f>
        <v>15013282</v>
      </c>
      <c r="H30" s="8">
        <f>'Anne-6'!S30+'Anne-7'!I30</f>
        <v>9661637</v>
      </c>
      <c r="I30" s="8">
        <f>'Anne-6'!I30</f>
        <v>14491774</v>
      </c>
      <c r="J30" s="8">
        <f>'Anne-7'!J30</f>
        <v>4083136</v>
      </c>
      <c r="K30" s="8">
        <f>'Anne-6'!N30</f>
        <v>6968905</v>
      </c>
      <c r="L30" s="9">
        <f>'Anne-6'!K30</f>
        <v>3774238</v>
      </c>
      <c r="M30" s="8">
        <f>'Anne-6'!V30</f>
        <v>7399456</v>
      </c>
      <c r="N30" s="35">
        <f>'Anne-6'!W30</f>
        <v>14629</v>
      </c>
      <c r="O30" s="8">
        <f>'Anne-7'!L30</f>
        <v>537198</v>
      </c>
      <c r="P30" s="8"/>
      <c r="Q30" s="35"/>
      <c r="R30" s="35">
        <f t="shared" si="1"/>
        <v>61944255</v>
      </c>
      <c r="S30" s="36">
        <f t="shared" si="0"/>
        <v>72247564</v>
      </c>
      <c r="T30" s="141">
        <f aca="true" t="shared" si="3" ref="T30:T38">D30/S30*100</f>
        <v>14.261116125659267</v>
      </c>
      <c r="W30" s="2">
        <v>11.264606079660437</v>
      </c>
    </row>
    <row r="31" spans="1:23" ht="15">
      <c r="A31" s="5">
        <v>23</v>
      </c>
      <c r="B31" s="6" t="s">
        <v>85</v>
      </c>
      <c r="C31" s="85">
        <v>5</v>
      </c>
      <c r="D31" s="25">
        <f>'Anne-6'!D31+'Anne-7'!F31</f>
        <v>4903491</v>
      </c>
      <c r="E31" s="8"/>
      <c r="F31" s="8">
        <f t="shared" si="2"/>
        <v>4903491</v>
      </c>
      <c r="G31" s="10">
        <f>'Anne-6'!G31</f>
        <v>6532214</v>
      </c>
      <c r="H31" s="8">
        <f>'Anne-6'!S31+'Anne-7'!I31</f>
        <v>6587565</v>
      </c>
      <c r="I31" s="8">
        <f>'Anne-6'!I31</f>
        <v>9031358</v>
      </c>
      <c r="J31" s="8">
        <f>'Anne-7'!J31</f>
        <v>3931987</v>
      </c>
      <c r="K31" s="8">
        <f>'Anne-6'!N31</f>
        <v>10385262</v>
      </c>
      <c r="L31" s="9">
        <f>'Anne-6'!K31</f>
        <v>1409150</v>
      </c>
      <c r="M31" s="8">
        <f>'Anne-6'!V31</f>
        <v>5119624</v>
      </c>
      <c r="N31" s="35">
        <f>'Anne-6'!W31</f>
        <v>3622</v>
      </c>
      <c r="O31" s="8">
        <f>'Anne-7'!L31</f>
        <v>570069</v>
      </c>
      <c r="P31" s="8"/>
      <c r="Q31" s="35"/>
      <c r="R31" s="35">
        <f t="shared" si="1"/>
        <v>43570851</v>
      </c>
      <c r="S31" s="36">
        <f t="shared" si="0"/>
        <v>48474342</v>
      </c>
      <c r="T31" s="141">
        <f t="shared" si="3"/>
        <v>10.115642209233082</v>
      </c>
      <c r="W31" s="8">
        <v>13.113051353560742</v>
      </c>
    </row>
    <row r="32" spans="1:23" ht="15">
      <c r="A32" s="5">
        <v>24</v>
      </c>
      <c r="B32" s="6" t="s">
        <v>44</v>
      </c>
      <c r="C32" s="85">
        <v>4</v>
      </c>
      <c r="D32" s="25">
        <f>'Anne-6'!D32+'Anne-7'!F32</f>
        <v>3624033</v>
      </c>
      <c r="E32" s="8"/>
      <c r="F32" s="8">
        <f t="shared" si="2"/>
        <v>3624033</v>
      </c>
      <c r="G32" s="10">
        <f>'Anne-6'!G32</f>
        <v>9162866</v>
      </c>
      <c r="H32" s="8">
        <f>'Anne-6'!S32+'Anne-7'!I32</f>
        <v>6650979</v>
      </c>
      <c r="I32" s="8">
        <f>'Anne-6'!I32</f>
        <v>11367866</v>
      </c>
      <c r="J32" s="8">
        <f>'Anne-7'!J32</f>
        <v>2125904</v>
      </c>
      <c r="K32" s="8">
        <f>'Anne-6'!N32</f>
        <v>2393404</v>
      </c>
      <c r="L32" s="9">
        <f>'Anne-6'!K32</f>
        <v>3053462</v>
      </c>
      <c r="M32" s="8">
        <f>'Anne-6'!V32</f>
        <v>2983788</v>
      </c>
      <c r="N32" s="35">
        <f>'Anne-6'!W32</f>
        <v>0</v>
      </c>
      <c r="O32" s="8">
        <f>'Anne-7'!L32</f>
        <v>1948996</v>
      </c>
      <c r="P32" s="8"/>
      <c r="Q32" s="35"/>
      <c r="R32" s="35">
        <f t="shared" si="1"/>
        <v>39687265</v>
      </c>
      <c r="S32" s="36">
        <f t="shared" si="0"/>
        <v>43311298</v>
      </c>
      <c r="T32" s="141">
        <f t="shared" si="3"/>
        <v>8.367407968239604</v>
      </c>
      <c r="W32" s="2">
        <v>0</v>
      </c>
    </row>
    <row r="33" spans="1:23" ht="15">
      <c r="A33" s="5">
        <v>25</v>
      </c>
      <c r="B33" s="6" t="s">
        <v>45</v>
      </c>
      <c r="C33" s="85">
        <v>5</v>
      </c>
      <c r="D33" s="25">
        <f>'Anne-6'!D33+'Anne-7'!F33</f>
        <v>2295804</v>
      </c>
      <c r="E33" s="8"/>
      <c r="F33" s="8">
        <f t="shared" si="2"/>
        <v>2295804</v>
      </c>
      <c r="G33" s="10">
        <f>'Anne-6'!G33</f>
        <v>3662644</v>
      </c>
      <c r="H33" s="8">
        <f>'Anne-6'!S33+'Anne-7'!I33</f>
        <v>4123621</v>
      </c>
      <c r="I33" s="8">
        <f>'Anne-6'!I33</f>
        <v>4138689</v>
      </c>
      <c r="J33" s="8">
        <f>'Anne-7'!J33</f>
        <v>2885466</v>
      </c>
      <c r="K33" s="8">
        <f>'Anne-6'!N33</f>
        <v>1250623</v>
      </c>
      <c r="L33" s="9">
        <f>'Anne-6'!K33</f>
        <v>1852675</v>
      </c>
      <c r="M33" s="8">
        <f>'Anne-6'!V33</f>
        <v>1456841</v>
      </c>
      <c r="N33" s="35">
        <f>'Anne-6'!W33</f>
        <v>0</v>
      </c>
      <c r="O33" s="8">
        <f>'Anne-7'!L33</f>
        <v>882258</v>
      </c>
      <c r="P33" s="8"/>
      <c r="Q33" s="35"/>
      <c r="R33" s="35">
        <f t="shared" si="1"/>
        <v>20252817</v>
      </c>
      <c r="S33" s="36">
        <f t="shared" si="0"/>
        <v>22548621</v>
      </c>
      <c r="T33" s="141">
        <f t="shared" si="3"/>
        <v>10.181571635799811</v>
      </c>
      <c r="W33" s="23">
        <v>0</v>
      </c>
    </row>
    <row r="34" spans="1:23" ht="15">
      <c r="A34" s="5">
        <v>26</v>
      </c>
      <c r="B34" s="6" t="s">
        <v>46</v>
      </c>
      <c r="C34" s="85">
        <v>3</v>
      </c>
      <c r="D34" s="25">
        <f>'Anne-6'!D34+'Anne-7'!F34</f>
        <v>1590059</v>
      </c>
      <c r="E34" s="8"/>
      <c r="F34" s="8">
        <f t="shared" si="2"/>
        <v>1590059</v>
      </c>
      <c r="G34" s="10">
        <f>'Anne-6'!G34</f>
        <v>3639057</v>
      </c>
      <c r="H34" s="8">
        <f>'Anne-6'!S34+'Anne-7'!I34</f>
        <v>830142</v>
      </c>
      <c r="I34" s="8">
        <f>'Anne-6'!I34</f>
        <v>2071285</v>
      </c>
      <c r="J34" s="8">
        <f>'Anne-7'!J34</f>
        <v>1406337</v>
      </c>
      <c r="K34" s="8">
        <f>'Anne-6'!N34</f>
        <v>0</v>
      </c>
      <c r="L34" s="9">
        <f>'Anne-6'!K34</f>
        <v>3812093</v>
      </c>
      <c r="M34" s="8">
        <f>'Anne-6'!V34</f>
        <v>0</v>
      </c>
      <c r="N34" s="35">
        <f>'Anne-6'!W34</f>
        <v>0</v>
      </c>
      <c r="O34" s="8">
        <f>'Anne-7'!L34</f>
        <v>0</v>
      </c>
      <c r="P34" s="8"/>
      <c r="Q34" s="35"/>
      <c r="R34" s="35">
        <f t="shared" si="1"/>
        <v>11758914</v>
      </c>
      <c r="S34" s="36">
        <f t="shared" si="0"/>
        <v>13348973</v>
      </c>
      <c r="T34" s="141">
        <f t="shared" si="3"/>
        <v>11.911470642722852</v>
      </c>
      <c r="W34" s="2">
        <v>11.883842284044729</v>
      </c>
    </row>
    <row r="35" spans="1:20" ht="15">
      <c r="A35" s="5"/>
      <c r="B35" s="7" t="s">
        <v>47</v>
      </c>
      <c r="C35" s="45">
        <v>4</v>
      </c>
      <c r="D35" s="70">
        <f aca="true" t="shared" si="4" ref="D35:S35">SUM(D9:D34)</f>
        <v>100240893</v>
      </c>
      <c r="E35" s="8">
        <f t="shared" si="4"/>
        <v>0</v>
      </c>
      <c r="F35" s="8">
        <f t="shared" si="4"/>
        <v>100240893</v>
      </c>
      <c r="G35" s="8">
        <f t="shared" si="4"/>
        <v>171528694</v>
      </c>
      <c r="H35" s="8">
        <f>SUM(H9:H34)</f>
        <v>104881446</v>
      </c>
      <c r="I35" s="8">
        <f t="shared" si="4"/>
        <v>133129688</v>
      </c>
      <c r="J35" s="8">
        <f t="shared" si="4"/>
        <v>60493055</v>
      </c>
      <c r="K35" s="8">
        <f>SUM(K9:K34)</f>
        <v>108776504</v>
      </c>
      <c r="L35" s="8">
        <f t="shared" si="4"/>
        <v>57269395</v>
      </c>
      <c r="M35" s="8">
        <f>SUM(M9:M34)</f>
        <v>38251158</v>
      </c>
      <c r="N35" s="25">
        <f>SUM(N9:N34)</f>
        <v>2257054</v>
      </c>
      <c r="O35" s="8">
        <f>SUM(O9:O34)</f>
        <v>12975854</v>
      </c>
      <c r="P35" s="8">
        <f>SUM(P9:P34)</f>
        <v>1589812</v>
      </c>
      <c r="Q35" s="8"/>
      <c r="R35" s="8">
        <f t="shared" si="4"/>
        <v>691152660</v>
      </c>
      <c r="S35" s="8">
        <f t="shared" si="4"/>
        <v>791393553</v>
      </c>
      <c r="T35" s="141">
        <f t="shared" si="3"/>
        <v>12.66637725566612</v>
      </c>
    </row>
    <row r="36" spans="1:20" ht="15">
      <c r="A36" s="4">
        <v>27</v>
      </c>
      <c r="B36" s="3" t="s">
        <v>48</v>
      </c>
      <c r="C36" s="4"/>
      <c r="D36" s="70"/>
      <c r="E36" s="70">
        <f>'Anne-6'!E36+'Anne-7'!G36</f>
        <v>2591964</v>
      </c>
      <c r="F36" s="8">
        <f t="shared" si="2"/>
        <v>2591964</v>
      </c>
      <c r="G36" s="10">
        <f>'Anne-6'!G36</f>
        <v>9105754</v>
      </c>
      <c r="H36" s="8">
        <f>'Anne-6'!S36+'Anne-7'!I36</f>
        <v>7441989</v>
      </c>
      <c r="I36" s="8">
        <f>'Anne-6'!I36</f>
        <v>8460140</v>
      </c>
      <c r="J36" s="8">
        <f>'Anne-7'!J36</f>
        <v>3756016</v>
      </c>
      <c r="K36" s="8">
        <f>'Anne-6'!N36</f>
        <v>4737090</v>
      </c>
      <c r="L36" s="9">
        <f>'Anne-6'!K36</f>
        <v>2850948</v>
      </c>
      <c r="M36" s="8">
        <f>'Anne-6'!V36</f>
        <v>0</v>
      </c>
      <c r="N36" s="35">
        <f>'Anne-6'!W36</f>
        <v>0</v>
      </c>
      <c r="O36" s="8">
        <f>'Anne-7'!L36</f>
        <v>929889</v>
      </c>
      <c r="P36" s="8">
        <f>'Anne-7'!K36</f>
        <v>0</v>
      </c>
      <c r="Q36" s="35"/>
      <c r="R36" s="35">
        <f t="shared" si="1"/>
        <v>37281826</v>
      </c>
      <c r="S36" s="36">
        <f>R36+F36</f>
        <v>39873790</v>
      </c>
      <c r="T36" s="141">
        <f t="shared" si="3"/>
        <v>0</v>
      </c>
    </row>
    <row r="37" spans="1:22" ht="15">
      <c r="A37" s="4">
        <v>28</v>
      </c>
      <c r="B37" s="3" t="s">
        <v>49</v>
      </c>
      <c r="C37" s="4"/>
      <c r="D37" s="70"/>
      <c r="E37" s="70">
        <f>'Anne-6'!E37+'Anne-7'!G37</f>
        <v>2709954</v>
      </c>
      <c r="F37" s="8">
        <f t="shared" si="2"/>
        <v>2709954</v>
      </c>
      <c r="G37" s="10">
        <f>'Anne-6'!G37</f>
        <v>3559119</v>
      </c>
      <c r="H37" s="8">
        <f>'Anne-6'!S37+'Anne-7'!I37</f>
        <v>5984368</v>
      </c>
      <c r="I37" s="8">
        <f>'Anne-6'!I37</f>
        <v>6110330</v>
      </c>
      <c r="J37" s="8">
        <f>'Anne-7'!J37</f>
        <v>3432943</v>
      </c>
      <c r="K37" s="8">
        <f>'Anne-6'!N37</f>
        <v>2886271</v>
      </c>
      <c r="L37" s="9">
        <f>'Anne-6'!K37</f>
        <v>1450948</v>
      </c>
      <c r="M37" s="8">
        <f>'Anne-6'!V37</f>
        <v>1868314</v>
      </c>
      <c r="N37" s="35">
        <f>'Anne-6'!W37</f>
        <v>0</v>
      </c>
      <c r="O37" s="8">
        <f>'Anne-7'!L37</f>
        <v>447707</v>
      </c>
      <c r="P37" s="8">
        <f>'Anne-7'!K37</f>
        <v>0</v>
      </c>
      <c r="Q37" s="35">
        <f>'Anne-6'!X37</f>
        <v>3028539</v>
      </c>
      <c r="R37" s="35">
        <f t="shared" si="1"/>
        <v>28768539</v>
      </c>
      <c r="S37" s="36">
        <f>R37+F37</f>
        <v>31478493</v>
      </c>
      <c r="T37" s="141">
        <f t="shared" si="3"/>
        <v>0</v>
      </c>
      <c r="V37" s="23"/>
    </row>
    <row r="38" spans="1:20" s="97" customFormat="1" ht="15">
      <c r="A38" s="447"/>
      <c r="B38" s="422" t="s">
        <v>50</v>
      </c>
      <c r="C38" s="447">
        <v>5</v>
      </c>
      <c r="D38" s="70">
        <f aca="true" t="shared" si="5" ref="D38:S38">SUM(D35:D37)</f>
        <v>100240893</v>
      </c>
      <c r="E38" s="70">
        <f t="shared" si="5"/>
        <v>5301918</v>
      </c>
      <c r="F38" s="70">
        <f t="shared" si="5"/>
        <v>105542811</v>
      </c>
      <c r="G38" s="70">
        <f t="shared" si="5"/>
        <v>184193567</v>
      </c>
      <c r="H38" s="70">
        <f>SUM(H35:H37)</f>
        <v>118307803</v>
      </c>
      <c r="I38" s="70">
        <f t="shared" si="5"/>
        <v>147700158</v>
      </c>
      <c r="J38" s="70">
        <f t="shared" si="5"/>
        <v>67682014</v>
      </c>
      <c r="K38" s="70">
        <f>SUM(K35:K37)</f>
        <v>116399865</v>
      </c>
      <c r="L38" s="70">
        <f t="shared" si="5"/>
        <v>61571291</v>
      </c>
      <c r="M38" s="70">
        <f>SUM(M35:M37)</f>
        <v>40119472</v>
      </c>
      <c r="N38" s="70">
        <f>SUM(N35:N37)</f>
        <v>2257054</v>
      </c>
      <c r="O38" s="70">
        <f>SUM(O35:O37)</f>
        <v>14353450</v>
      </c>
      <c r="P38" s="70">
        <f>SUM(P35:P37)</f>
        <v>1589812</v>
      </c>
      <c r="Q38" s="70">
        <f t="shared" si="5"/>
        <v>3028539</v>
      </c>
      <c r="R38" s="70">
        <f t="shared" si="5"/>
        <v>757203025</v>
      </c>
      <c r="S38" s="70">
        <f t="shared" si="5"/>
        <v>862745836</v>
      </c>
      <c r="T38" s="448">
        <f t="shared" si="3"/>
        <v>11.61882084122861</v>
      </c>
    </row>
    <row r="39" spans="1:22" ht="14.25">
      <c r="A39" s="107" t="s">
        <v>51</v>
      </c>
      <c r="B39" s="108"/>
      <c r="C39" s="108"/>
      <c r="D39" s="139">
        <f>D38/$S$38*100</f>
        <v>11.61882084122861</v>
      </c>
      <c r="E39" s="139">
        <f aca="true" t="shared" si="6" ref="E39:J39">E38/$S$38*100</f>
        <v>0.6145399697994022</v>
      </c>
      <c r="F39" s="139">
        <f t="shared" si="6"/>
        <v>12.233360811028012</v>
      </c>
      <c r="G39" s="139">
        <f t="shared" si="6"/>
        <v>21.349690640523704</v>
      </c>
      <c r="H39" s="139">
        <f t="shared" si="6"/>
        <v>13.712938163633165</v>
      </c>
      <c r="I39" s="139">
        <f t="shared" si="6"/>
        <v>17.119776397274897</v>
      </c>
      <c r="J39" s="139">
        <f t="shared" si="6"/>
        <v>7.84495400334798</v>
      </c>
      <c r="K39" s="139">
        <f aca="true" t="shared" si="7" ref="K39:R39">K38/$S$38*100</f>
        <v>13.491790993703503</v>
      </c>
      <c r="L39" s="139">
        <f t="shared" si="7"/>
        <v>7.136666261464287</v>
      </c>
      <c r="M39" s="139">
        <f t="shared" si="7"/>
        <v>4.650207549654288</v>
      </c>
      <c r="N39" s="139">
        <f t="shared" si="7"/>
        <v>0.2616128534986056</v>
      </c>
      <c r="O39" s="139">
        <f t="shared" si="7"/>
        <v>1.6636939178458117</v>
      </c>
      <c r="P39" s="139">
        <f t="shared" si="7"/>
        <v>0.18427350601550743</v>
      </c>
      <c r="Q39" s="139">
        <f t="shared" si="7"/>
        <v>0.351034902010237</v>
      </c>
      <c r="R39" s="139">
        <f t="shared" si="7"/>
        <v>87.76663918897198</v>
      </c>
      <c r="S39" s="139">
        <f>S38/S38*100</f>
        <v>100</v>
      </c>
      <c r="T39" s="139"/>
      <c r="V39" s="23"/>
    </row>
    <row r="40" spans="1:20" ht="27.75" customHeight="1" hidden="1">
      <c r="A40" s="112"/>
      <c r="B40" s="115" t="s">
        <v>108</v>
      </c>
      <c r="C40" s="116"/>
      <c r="D40" s="113">
        <f>D35/S35</f>
        <v>0.1266637725566612</v>
      </c>
      <c r="E40" s="113">
        <f>E35/S35</f>
        <v>0</v>
      </c>
      <c r="F40" s="113">
        <f>F35/S35</f>
        <v>0.1266637725566612</v>
      </c>
      <c r="G40" s="113">
        <f>G35/S35</f>
        <v>0.21674259709315574</v>
      </c>
      <c r="H40" s="113"/>
      <c r="I40" s="113">
        <f>I35/S35</f>
        <v>0.1682218505512642</v>
      </c>
      <c r="J40" s="113"/>
      <c r="K40" s="113">
        <f>K35/S35</f>
        <v>0.13744931783643174</v>
      </c>
      <c r="L40" s="113">
        <f>L35/S35</f>
        <v>0.07236525339750904</v>
      </c>
      <c r="M40" s="113"/>
      <c r="N40" s="113"/>
      <c r="O40" s="113"/>
      <c r="P40" s="113"/>
      <c r="Q40" s="113">
        <f>Q35/S35</f>
        <v>0</v>
      </c>
      <c r="R40" s="113">
        <f>R35/S35</f>
        <v>0.8733362274433388</v>
      </c>
      <c r="S40" s="113">
        <f>S35/S35</f>
        <v>1</v>
      </c>
      <c r="T40" s="143"/>
    </row>
    <row r="41" spans="1:20" ht="14.25">
      <c r="A41" s="101"/>
      <c r="B41" s="117"/>
      <c r="C41" s="117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40"/>
    </row>
    <row r="42" spans="1:20" ht="14.25">
      <c r="A42" s="107" t="str">
        <f>'Anne-4'!A40</f>
        <v>Conn. As on 31.12.2012</v>
      </c>
      <c r="B42" s="108"/>
      <c r="C42" s="118">
        <v>5</v>
      </c>
      <c r="D42" s="8">
        <v>99922347</v>
      </c>
      <c r="E42" s="8">
        <v>5302640</v>
      </c>
      <c r="F42" s="8">
        <v>105224987</v>
      </c>
      <c r="G42" s="8">
        <v>181906892</v>
      </c>
      <c r="H42" s="8">
        <v>118528269</v>
      </c>
      <c r="I42" s="8">
        <v>147476290</v>
      </c>
      <c r="J42" s="8">
        <v>69558122</v>
      </c>
      <c r="K42" s="8">
        <v>113946827</v>
      </c>
      <c r="L42" s="8">
        <v>63347284</v>
      </c>
      <c r="M42" s="8">
        <v>41520544</v>
      </c>
      <c r="N42" s="8">
        <v>3640312</v>
      </c>
      <c r="O42" s="8">
        <v>14880003</v>
      </c>
      <c r="P42" s="8">
        <v>1696650</v>
      </c>
      <c r="Q42" s="8">
        <v>3028539</v>
      </c>
      <c r="R42" s="8">
        <v>759529732</v>
      </c>
      <c r="S42" s="8">
        <v>864754719</v>
      </c>
      <c r="T42" s="142">
        <f>(D42)/S42*100</f>
        <v>11.554992971365328</v>
      </c>
    </row>
    <row r="43" spans="1:22" ht="14.25">
      <c r="A43" s="107" t="str">
        <f>'Anne-4'!A41</f>
        <v>Addition during Jan 2013</v>
      </c>
      <c r="B43" s="108"/>
      <c r="C43" s="118">
        <v>3</v>
      </c>
      <c r="D43" s="8">
        <f aca="true" t="shared" si="8" ref="D43:S43">D38-D42</f>
        <v>318546</v>
      </c>
      <c r="E43" s="8">
        <f t="shared" si="8"/>
        <v>-722</v>
      </c>
      <c r="F43" s="8">
        <f t="shared" si="8"/>
        <v>317824</v>
      </c>
      <c r="G43" s="8">
        <f t="shared" si="8"/>
        <v>2286675</v>
      </c>
      <c r="H43" s="8">
        <f t="shared" si="8"/>
        <v>-220466</v>
      </c>
      <c r="I43" s="8">
        <f t="shared" si="8"/>
        <v>223868</v>
      </c>
      <c r="J43" s="8">
        <f t="shared" si="8"/>
        <v>-1876108</v>
      </c>
      <c r="K43" s="8">
        <f t="shared" si="8"/>
        <v>2453038</v>
      </c>
      <c r="L43" s="8">
        <f t="shared" si="8"/>
        <v>-1775993</v>
      </c>
      <c r="M43" s="8">
        <f>M38-M42</f>
        <v>-1401072</v>
      </c>
      <c r="N43" s="8">
        <f>N38-N42</f>
        <v>-1383258</v>
      </c>
      <c r="O43" s="8">
        <f>O38-O42</f>
        <v>-526553</v>
      </c>
      <c r="P43" s="8">
        <f>P38-P42</f>
        <v>-106838</v>
      </c>
      <c r="Q43" s="8">
        <f t="shared" si="8"/>
        <v>0</v>
      </c>
      <c r="R43" s="8">
        <f t="shared" si="8"/>
        <v>-2326707</v>
      </c>
      <c r="S43" s="8">
        <f t="shared" si="8"/>
        <v>-2008883</v>
      </c>
      <c r="T43" s="429" t="s">
        <v>130</v>
      </c>
      <c r="V43" s="158">
        <f>T38-T42</f>
        <v>0.0638278698632817</v>
      </c>
    </row>
    <row r="44" spans="1:22" ht="14.25">
      <c r="A44" s="107" t="str">
        <f>'Anne-4'!A42</f>
        <v>Conn. As on 31.03.2012</v>
      </c>
      <c r="B44" s="110"/>
      <c r="C44" s="4">
        <v>5</v>
      </c>
      <c r="D44" s="8">
        <v>98512988</v>
      </c>
      <c r="E44" s="8">
        <v>5844289</v>
      </c>
      <c r="F44" s="8">
        <v>104357277</v>
      </c>
      <c r="G44" s="8">
        <v>181279296</v>
      </c>
      <c r="H44" s="8">
        <v>153045692</v>
      </c>
      <c r="I44" s="8">
        <v>150465330</v>
      </c>
      <c r="J44" s="8">
        <v>81745797</v>
      </c>
      <c r="K44" s="8">
        <v>112722692</v>
      </c>
      <c r="L44" s="8">
        <v>62572579</v>
      </c>
      <c r="M44" s="8">
        <v>42431924</v>
      </c>
      <c r="N44" s="8">
        <v>5951588</v>
      </c>
      <c r="O44" s="8">
        <v>15803039</v>
      </c>
      <c r="P44" s="8">
        <v>1331392</v>
      </c>
      <c r="Q44" s="8">
        <v>3267241</v>
      </c>
      <c r="R44" s="8">
        <v>815739531</v>
      </c>
      <c r="S44" s="8">
        <v>920096808</v>
      </c>
      <c r="T44" s="144">
        <f>(D44)/S44*100</f>
        <v>10.706806842872995</v>
      </c>
      <c r="V44" s="158">
        <f>T38-T44</f>
        <v>0.912013998355615</v>
      </c>
    </row>
    <row r="45" spans="1:20" ht="14.25">
      <c r="A45" s="107" t="str">
        <f>'Anne-4'!A43</f>
        <v>Addition during 2012-13</v>
      </c>
      <c r="B45" s="108"/>
      <c r="C45" s="4">
        <v>3</v>
      </c>
      <c r="D45" s="8">
        <f>D38-D44</f>
        <v>1727905</v>
      </c>
      <c r="E45" s="8">
        <f aca="true" t="shared" si="9" ref="E45:Q45">E38-E44</f>
        <v>-542371</v>
      </c>
      <c r="F45" s="8">
        <f t="shared" si="9"/>
        <v>1185534</v>
      </c>
      <c r="G45" s="8">
        <f t="shared" si="9"/>
        <v>2914271</v>
      </c>
      <c r="H45" s="8">
        <f t="shared" si="9"/>
        <v>-34737889</v>
      </c>
      <c r="I45" s="8">
        <f t="shared" si="9"/>
        <v>-2765172</v>
      </c>
      <c r="J45" s="8">
        <f t="shared" si="9"/>
        <v>-14063783</v>
      </c>
      <c r="K45" s="8">
        <f t="shared" si="9"/>
        <v>3677173</v>
      </c>
      <c r="L45" s="8">
        <f t="shared" si="9"/>
        <v>-1001288</v>
      </c>
      <c r="M45" s="8">
        <f>M38-M44</f>
        <v>-2312452</v>
      </c>
      <c r="N45" s="8">
        <f>N38-N44</f>
        <v>-3694534</v>
      </c>
      <c r="O45" s="8">
        <f>O38-O44</f>
        <v>-1449589</v>
      </c>
      <c r="P45" s="8">
        <f>P38-P44</f>
        <v>258420</v>
      </c>
      <c r="Q45" s="8">
        <f t="shared" si="9"/>
        <v>-238702</v>
      </c>
      <c r="R45" s="8">
        <f>R38-R44</f>
        <v>-58536506</v>
      </c>
      <c r="S45" s="8">
        <f>S38-S44</f>
        <v>-57350972</v>
      </c>
      <c r="T45" s="429" t="s">
        <v>130</v>
      </c>
    </row>
    <row r="46" spans="1:20" ht="15">
      <c r="A46" s="2" t="str">
        <f>'Anne-6'!A46</f>
        <v>Note: As per TRAI report, M/s Etisalat, S. Tel and Loop (Except for Mumbai Circle) have submitted that there are no active subscribers on their network hence their figures have been taken as Zero.</v>
      </c>
      <c r="B46" s="26"/>
      <c r="C46" s="26"/>
      <c r="S46" s="23"/>
      <c r="T46" s="23"/>
    </row>
    <row r="47" spans="2:20" ht="15">
      <c r="B47" s="26"/>
      <c r="C47" s="26"/>
      <c r="D47" s="319">
        <f>D45/D44*100</f>
        <v>1.7539869971256987</v>
      </c>
      <c r="K47" s="23"/>
      <c r="S47" s="319">
        <f>S45/S44*100</f>
        <v>-6.2331454148463905</v>
      </c>
      <c r="T47" s="23"/>
    </row>
    <row r="48" spans="2:19" ht="15">
      <c r="B48" s="26"/>
      <c r="C48" s="26"/>
      <c r="D48" s="23"/>
      <c r="S48" s="23"/>
    </row>
    <row r="49" spans="2:19" ht="15">
      <c r="B49" s="26"/>
      <c r="C49" s="26"/>
      <c r="D49" s="23">
        <f>D11+D23</f>
        <v>2964442</v>
      </c>
      <c r="S49" s="23">
        <f>S11+S23</f>
        <v>22999606</v>
      </c>
    </row>
    <row r="50" spans="2:19" ht="15">
      <c r="B50" s="26"/>
      <c r="C50" s="26"/>
      <c r="S50" s="23"/>
    </row>
    <row r="51" ht="14.25">
      <c r="S51" s="23"/>
    </row>
    <row r="52" ht="14.25">
      <c r="R52" s="23"/>
    </row>
  </sheetData>
  <sheetProtection/>
  <mergeCells count="20">
    <mergeCell ref="T6:T8"/>
    <mergeCell ref="M7:M8"/>
    <mergeCell ref="R6:R8"/>
    <mergeCell ref="O7:O8"/>
    <mergeCell ref="S6:S8"/>
    <mergeCell ref="Q7:Q8"/>
    <mergeCell ref="J7:J8"/>
    <mergeCell ref="P7:P8"/>
    <mergeCell ref="I7:I8"/>
    <mergeCell ref="G7:G8"/>
    <mergeCell ref="K7:K8"/>
    <mergeCell ref="L7:L8"/>
    <mergeCell ref="N7:N8"/>
    <mergeCell ref="H7:H8"/>
    <mergeCell ref="F7:F8"/>
    <mergeCell ref="E7:E8"/>
    <mergeCell ref="A6:A8"/>
    <mergeCell ref="B6:B8"/>
    <mergeCell ref="C7:C8"/>
    <mergeCell ref="D7:D8"/>
  </mergeCells>
  <conditionalFormatting sqref="T10:T38">
    <cfRule type="top10" priority="4" dxfId="1" stopIfTrue="1" rank="5"/>
  </conditionalFormatting>
  <conditionalFormatting sqref="T10:T38">
    <cfRule type="top10" priority="2" dxfId="1" stopIfTrue="1" rank="5" bottom="1"/>
    <cfRule type="top10" priority="3" dxfId="0" stopIfTrue="1" rank="5"/>
  </conditionalFormatting>
  <conditionalFormatting sqref="T10:T38">
    <cfRule type="top10" priority="1" dxfId="1" stopIfTrue="1" rank="5"/>
  </conditionalFormatting>
  <conditionalFormatting sqref="T42 T10:T38">
    <cfRule type="top10" priority="5" dxfId="1" stopIfTrue="1" rank="5" bottom="1"/>
    <cfRule type="top10" priority="6" dxfId="0" stopIfTrue="1" rank="5" percent="1"/>
    <cfRule type="top10" priority="7" dxfId="1" stopIfTrue="1" rank="5" bottom="1"/>
    <cfRule type="top10" priority="8" dxfId="0" stopIfTrue="1" rank="5"/>
  </conditionalFormatting>
  <printOptions/>
  <pageMargins left="0.1968503937007874" right="0" top="0.6299212598425197" bottom="0.2362204724409449" header="0.5118110236220472" footer="0.5118110236220472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4"/>
  <sheetViews>
    <sheetView workbookViewId="0" topLeftCell="A1">
      <pane xSplit="3" ySplit="8" topLeftCell="D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25" sqref="C25"/>
    </sheetView>
  </sheetViews>
  <sheetFormatPr defaultColWidth="9.140625" defaultRowHeight="12.75"/>
  <cols>
    <col min="1" max="1" width="6.140625" style="2" customWidth="1"/>
    <col min="2" max="2" width="18.00390625" style="2" customWidth="1"/>
    <col min="3" max="3" width="5.7109375" style="2" customWidth="1"/>
    <col min="4" max="4" width="11.7109375" style="2" customWidth="1"/>
    <col min="5" max="5" width="10.140625" style="2" customWidth="1"/>
    <col min="6" max="7" width="12.7109375" style="2" customWidth="1"/>
    <col min="8" max="8" width="13.28125" style="2" hidden="1" customWidth="1"/>
    <col min="9" max="9" width="12.7109375" style="2" customWidth="1"/>
    <col min="10" max="10" width="13.421875" style="2" hidden="1" customWidth="1"/>
    <col min="11" max="11" width="11.8515625" style="2" customWidth="1"/>
    <col min="12" max="12" width="11.8515625" style="2" hidden="1" customWidth="1"/>
    <col min="13" max="13" width="11.57421875" style="2" hidden="1" customWidth="1"/>
    <col min="14" max="14" width="13.00390625" style="2" customWidth="1"/>
    <col min="15" max="17" width="12.140625" style="2" hidden="1" customWidth="1"/>
    <col min="18" max="18" width="11.57421875" style="2" hidden="1" customWidth="1"/>
    <col min="19" max="19" width="11.8515625" style="2" customWidth="1"/>
    <col min="20" max="20" width="12.28125" style="2" hidden="1" customWidth="1"/>
    <col min="21" max="21" width="24.57421875" style="2" hidden="1" customWidth="1"/>
    <col min="22" max="22" width="11.8515625" style="2" customWidth="1"/>
    <col min="23" max="23" width="10.8515625" style="2" customWidth="1"/>
    <col min="24" max="24" width="10.00390625" style="2" customWidth="1"/>
    <col min="25" max="25" width="12.7109375" style="2" customWidth="1"/>
    <col min="26" max="26" width="13.00390625" style="2" customWidth="1"/>
    <col min="27" max="27" width="10.57421875" style="2" customWidth="1"/>
    <col min="28" max="28" width="11.7109375" style="2" customWidth="1"/>
    <col min="29" max="29" width="13.421875" style="2" customWidth="1"/>
    <col min="30" max="30" width="13.8515625" style="2" customWidth="1"/>
    <col min="31" max="31" width="13.140625" style="2" customWidth="1"/>
    <col min="32" max="32" width="15.8515625" style="2" customWidth="1"/>
    <col min="33" max="33" width="14.140625" style="2" customWidth="1"/>
    <col min="34" max="34" width="11.28125" style="2" customWidth="1"/>
    <col min="35" max="35" width="15.57421875" style="2" customWidth="1"/>
    <col min="36" max="36" width="12.421875" style="2" bestFit="1" customWidth="1"/>
    <col min="37" max="37" width="11.28125" style="2" customWidth="1"/>
    <col min="38" max="16384" width="9.140625" style="2" customWidth="1"/>
  </cols>
  <sheetData>
    <row r="1" spans="5:26" ht="15">
      <c r="E1" s="14"/>
      <c r="Z1" s="76" t="s">
        <v>112</v>
      </c>
    </row>
    <row r="2" spans="2:7" ht="14.25">
      <c r="B2" s="2" t="str">
        <f>'Anne-5'!B2</f>
        <v>No. 1-2(1)/Market Share/2012-CP&amp;M </v>
      </c>
      <c r="G2" s="2" t="str">
        <f>'Anne-4'!H2</f>
        <v>Dated: 28th February 2013.</v>
      </c>
    </row>
    <row r="4" spans="2:3" ht="15">
      <c r="B4" s="76" t="s">
        <v>243</v>
      </c>
      <c r="C4" s="76"/>
    </row>
    <row r="5" spans="4:24" ht="14.25">
      <c r="D5" s="90">
        <v>1</v>
      </c>
      <c r="E5" s="90">
        <v>2</v>
      </c>
      <c r="F5" s="90"/>
      <c r="G5" s="90">
        <v>3</v>
      </c>
      <c r="H5" s="90"/>
      <c r="I5" s="90">
        <v>4</v>
      </c>
      <c r="J5" s="90"/>
      <c r="K5" s="90">
        <v>5</v>
      </c>
      <c r="L5" s="90"/>
      <c r="M5" s="90"/>
      <c r="N5" s="90">
        <v>6</v>
      </c>
      <c r="O5" s="90"/>
      <c r="P5" s="90"/>
      <c r="Q5" s="90"/>
      <c r="R5" s="90"/>
      <c r="S5" s="90">
        <v>7</v>
      </c>
      <c r="T5" s="90"/>
      <c r="U5" s="90"/>
      <c r="V5" s="90">
        <v>8</v>
      </c>
      <c r="W5" s="90">
        <v>9</v>
      </c>
      <c r="X5" s="90">
        <v>10</v>
      </c>
    </row>
    <row r="6" spans="1:30" ht="15">
      <c r="A6" s="467" t="s">
        <v>19</v>
      </c>
      <c r="B6" s="467" t="s">
        <v>20</v>
      </c>
      <c r="C6" s="45"/>
      <c r="D6" s="13" t="s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"/>
      <c r="W6" s="3"/>
      <c r="X6" s="13"/>
      <c r="Y6" s="552" t="s">
        <v>53</v>
      </c>
      <c r="Z6" s="544" t="s">
        <v>70</v>
      </c>
      <c r="AA6" s="557" t="s">
        <v>120</v>
      </c>
      <c r="AB6" s="555" t="s">
        <v>99</v>
      </c>
      <c r="AC6" s="555"/>
      <c r="AD6" s="555"/>
    </row>
    <row r="7" spans="1:30" s="41" customFormat="1" ht="15.75" customHeight="1">
      <c r="A7" s="467"/>
      <c r="B7" s="467"/>
      <c r="C7" s="459" t="s">
        <v>118</v>
      </c>
      <c r="D7" s="554" t="s">
        <v>1</v>
      </c>
      <c r="E7" s="551" t="s">
        <v>2</v>
      </c>
      <c r="F7" s="552" t="s">
        <v>52</v>
      </c>
      <c r="G7" s="544" t="s">
        <v>54</v>
      </c>
      <c r="H7" s="374" t="s">
        <v>3</v>
      </c>
      <c r="I7" s="544" t="s">
        <v>110</v>
      </c>
      <c r="J7" s="375"/>
      <c r="K7" s="544" t="s">
        <v>55</v>
      </c>
      <c r="L7" s="375" t="s">
        <v>10</v>
      </c>
      <c r="M7" s="546" t="s">
        <v>14</v>
      </c>
      <c r="N7" s="544" t="s">
        <v>56</v>
      </c>
      <c r="O7" s="548" t="s">
        <v>11</v>
      </c>
      <c r="P7" s="549"/>
      <c r="Q7" s="549"/>
      <c r="R7" s="550"/>
      <c r="S7" s="544" t="s">
        <v>117</v>
      </c>
      <c r="T7" s="546" t="s">
        <v>13</v>
      </c>
      <c r="U7" s="546" t="s">
        <v>8</v>
      </c>
      <c r="V7" s="547" t="s">
        <v>134</v>
      </c>
      <c r="W7" s="547" t="s">
        <v>144</v>
      </c>
      <c r="X7" s="544" t="s">
        <v>188</v>
      </c>
      <c r="Y7" s="556"/>
      <c r="Z7" s="556"/>
      <c r="AA7" s="558"/>
      <c r="AB7" s="555"/>
      <c r="AC7" s="555"/>
      <c r="AD7" s="555"/>
    </row>
    <row r="8" spans="1:32" s="41" customFormat="1" ht="30.75" customHeight="1">
      <c r="A8" s="467"/>
      <c r="B8" s="467"/>
      <c r="C8" s="460"/>
      <c r="D8" s="554"/>
      <c r="E8" s="551"/>
      <c r="F8" s="553"/>
      <c r="G8" s="545"/>
      <c r="H8" s="75" t="s">
        <v>75</v>
      </c>
      <c r="I8" s="545"/>
      <c r="J8" s="373" t="s">
        <v>107</v>
      </c>
      <c r="K8" s="545"/>
      <c r="L8" s="376" t="s">
        <v>4</v>
      </c>
      <c r="M8" s="544"/>
      <c r="N8" s="545"/>
      <c r="O8" s="376"/>
      <c r="P8" s="373" t="s">
        <v>12</v>
      </c>
      <c r="Q8" s="373" t="s">
        <v>7</v>
      </c>
      <c r="R8" s="373" t="s">
        <v>9</v>
      </c>
      <c r="S8" s="545"/>
      <c r="T8" s="544"/>
      <c r="U8" s="544"/>
      <c r="V8" s="547"/>
      <c r="W8" s="547"/>
      <c r="X8" s="545"/>
      <c r="Y8" s="553"/>
      <c r="Z8" s="553"/>
      <c r="AA8" s="559"/>
      <c r="AB8" s="52" t="s">
        <v>47</v>
      </c>
      <c r="AC8" s="45" t="s">
        <v>87</v>
      </c>
      <c r="AD8" s="45" t="s">
        <v>88</v>
      </c>
      <c r="AE8" s="41" t="s">
        <v>122</v>
      </c>
      <c r="AF8" s="377" t="s">
        <v>116</v>
      </c>
    </row>
    <row r="9" spans="1:33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>
        <f>H9</f>
        <v>0</v>
      </c>
      <c r="H9" s="30"/>
      <c r="I9" s="8"/>
      <c r="J9" s="8"/>
      <c r="K9" s="9"/>
      <c r="L9" s="8"/>
      <c r="M9" s="9"/>
      <c r="N9" s="8"/>
      <c r="O9" s="70"/>
      <c r="P9" s="70"/>
      <c r="Q9" s="70"/>
      <c r="R9" s="206"/>
      <c r="S9" s="70">
        <f>T9+U9</f>
        <v>0</v>
      </c>
      <c r="T9" s="206"/>
      <c r="U9" s="206"/>
      <c r="V9" s="8"/>
      <c r="W9" s="8"/>
      <c r="X9" s="8"/>
      <c r="Y9" s="35">
        <f>G9+I9+K9+N9+S9+V9+W9+X9</f>
        <v>0</v>
      </c>
      <c r="Z9" s="36">
        <f aca="true" t="shared" si="0" ref="Z9:Z34">Y9+F9</f>
        <v>0</v>
      </c>
      <c r="AA9" s="55"/>
      <c r="AB9" s="46">
        <f>AC9+AD9</f>
        <v>200732</v>
      </c>
      <c r="AC9" s="38">
        <v>115098</v>
      </c>
      <c r="AD9" s="38">
        <v>85634</v>
      </c>
      <c r="AF9" s="100">
        <v>198743</v>
      </c>
      <c r="AG9" s="2">
        <v>105270</v>
      </c>
    </row>
    <row r="10" spans="1:36" ht="13.5" customHeight="1">
      <c r="A10" s="5">
        <v>2</v>
      </c>
      <c r="B10" s="6" t="s">
        <v>22</v>
      </c>
      <c r="C10" s="85">
        <v>3</v>
      </c>
      <c r="D10" s="70">
        <f>AB10</f>
        <v>9146704</v>
      </c>
      <c r="E10" s="8"/>
      <c r="F10" s="8">
        <f>D10+E10</f>
        <v>9146704</v>
      </c>
      <c r="G10" s="207">
        <f aca="true" t="shared" si="1" ref="G10:G37">H10</f>
        <v>17884934</v>
      </c>
      <c r="H10" s="100">
        <v>17884934</v>
      </c>
      <c r="I10" s="8">
        <f>J10</f>
        <v>5688911</v>
      </c>
      <c r="J10" s="30">
        <v>5688911</v>
      </c>
      <c r="K10" s="8">
        <f>L10+M10</f>
        <v>1802320</v>
      </c>
      <c r="L10" s="30">
        <v>1802320</v>
      </c>
      <c r="M10" s="8"/>
      <c r="N10" s="84">
        <f aca="true" t="shared" si="2" ref="N10:N34">O10+P10+Q10</f>
        <v>10838496</v>
      </c>
      <c r="O10" s="30">
        <v>10838496</v>
      </c>
      <c r="P10" s="70"/>
      <c r="Q10" s="70"/>
      <c r="R10" s="70"/>
      <c r="S10" s="70">
        <f aca="true" t="shared" si="3" ref="S10:S37">T10+U10</f>
        <v>0</v>
      </c>
      <c r="T10" s="70">
        <v>0</v>
      </c>
      <c r="U10" s="70"/>
      <c r="V10" s="8">
        <v>4226266</v>
      </c>
      <c r="W10" s="8"/>
      <c r="X10" s="8"/>
      <c r="Y10" s="35">
        <f aca="true" t="shared" si="4" ref="Y10:Y37">G10+I10+K10+N10+S10+V10+W10+X10</f>
        <v>40440927</v>
      </c>
      <c r="Z10" s="36">
        <f t="shared" si="0"/>
        <v>49587631</v>
      </c>
      <c r="AA10" s="142">
        <f>(D10)/Z10*100</f>
        <v>18.44553533924619</v>
      </c>
      <c r="AB10" s="46">
        <f aca="true" t="shared" si="5" ref="AB10:AB34">AC10+AD10</f>
        <v>9146704</v>
      </c>
      <c r="AC10" s="38">
        <v>4372395</v>
      </c>
      <c r="AD10" s="38">
        <v>4774309</v>
      </c>
      <c r="AF10" s="159">
        <v>9111798</v>
      </c>
      <c r="AG10" s="2">
        <v>4078007</v>
      </c>
      <c r="AI10" s="2">
        <v>7694250</v>
      </c>
      <c r="AJ10" s="23">
        <f aca="true" t="shared" si="6" ref="AJ10:AJ34">AI10-S10</f>
        <v>7694250</v>
      </c>
    </row>
    <row r="11" spans="1:36" ht="16.5" customHeight="1">
      <c r="A11" s="5">
        <v>3</v>
      </c>
      <c r="B11" s="6" t="s">
        <v>23</v>
      </c>
      <c r="C11" s="85">
        <v>5</v>
      </c>
      <c r="D11" s="70">
        <f>AB11</f>
        <v>1140886</v>
      </c>
      <c r="E11" s="8"/>
      <c r="F11" s="8">
        <f aca="true" t="shared" si="7" ref="F11:F37">D11+E11</f>
        <v>1140886</v>
      </c>
      <c r="G11" s="207">
        <f t="shared" si="1"/>
        <v>3851324</v>
      </c>
      <c r="H11" s="30">
        <v>3851324</v>
      </c>
      <c r="I11" s="84">
        <f>J11</f>
        <v>2208121</v>
      </c>
      <c r="J11" s="30">
        <v>2208121</v>
      </c>
      <c r="K11" s="84">
        <f aca="true" t="shared" si="8" ref="K11:K38">L11+M11</f>
        <v>3550416</v>
      </c>
      <c r="L11" s="8"/>
      <c r="M11" s="30">
        <v>3550416</v>
      </c>
      <c r="N11" s="8">
        <f t="shared" si="2"/>
        <v>382840</v>
      </c>
      <c r="O11" s="30">
        <v>382840</v>
      </c>
      <c r="Q11" s="70"/>
      <c r="R11" s="70"/>
      <c r="S11" s="93">
        <f>T11+U11</f>
        <v>3048336</v>
      </c>
      <c r="T11" s="30">
        <v>3048336</v>
      </c>
      <c r="U11" s="70"/>
      <c r="V11" s="8">
        <v>776</v>
      </c>
      <c r="W11" s="8"/>
      <c r="X11" s="8"/>
      <c r="Y11" s="35">
        <f t="shared" si="4"/>
        <v>13041813</v>
      </c>
      <c r="Z11" s="36">
        <f t="shared" si="0"/>
        <v>14182699</v>
      </c>
      <c r="AA11" s="142">
        <f>(D11)/Z11*100</f>
        <v>8.044209356766297</v>
      </c>
      <c r="AB11" s="46">
        <f t="shared" si="5"/>
        <v>1140886</v>
      </c>
      <c r="AC11" s="38">
        <v>822693</v>
      </c>
      <c r="AD11" s="38">
        <v>318193</v>
      </c>
      <c r="AF11" s="159">
        <v>1136616</v>
      </c>
      <c r="AG11" s="2">
        <v>1009899</v>
      </c>
      <c r="AI11" s="2">
        <v>1880216</v>
      </c>
      <c r="AJ11" s="23">
        <f t="shared" si="6"/>
        <v>-1168120</v>
      </c>
    </row>
    <row r="12" spans="1:36" ht="15">
      <c r="A12" s="5">
        <v>4</v>
      </c>
      <c r="B12" s="6" t="s">
        <v>24</v>
      </c>
      <c r="C12" s="85">
        <v>4</v>
      </c>
      <c r="D12" s="70">
        <f>AB12+AB18</f>
        <v>5747760</v>
      </c>
      <c r="E12" s="8"/>
      <c r="F12" s="8">
        <f t="shared" si="7"/>
        <v>5747760</v>
      </c>
      <c r="G12" s="207">
        <f t="shared" si="1"/>
        <v>18798853</v>
      </c>
      <c r="H12" s="30">
        <v>18798853</v>
      </c>
      <c r="I12" s="84">
        <f aca="true" t="shared" si="9" ref="I12:I37">J12</f>
        <v>6381973</v>
      </c>
      <c r="J12" s="30">
        <v>6381973</v>
      </c>
      <c r="K12" s="8">
        <f t="shared" si="8"/>
        <v>4767543</v>
      </c>
      <c r="L12" s="8"/>
      <c r="M12" s="30">
        <v>4767543</v>
      </c>
      <c r="N12" s="8">
        <f t="shared" si="2"/>
        <v>5587271</v>
      </c>
      <c r="O12" s="30">
        <v>5587271</v>
      </c>
      <c r="P12" s="70"/>
      <c r="Q12" s="70"/>
      <c r="R12" s="70"/>
      <c r="S12" s="93">
        <f>T12+U12</f>
        <v>5891232</v>
      </c>
      <c r="T12" s="30">
        <v>5891232</v>
      </c>
      <c r="U12" s="70"/>
      <c r="V12" s="8">
        <v>4750129</v>
      </c>
      <c r="W12" s="8">
        <v>18596</v>
      </c>
      <c r="X12" s="8"/>
      <c r="Y12" s="35">
        <f t="shared" si="4"/>
        <v>46195597</v>
      </c>
      <c r="Z12" s="36">
        <f t="shared" si="0"/>
        <v>51943357</v>
      </c>
      <c r="AA12" s="142">
        <f>(D12)/Z12*100</f>
        <v>11.065438069395476</v>
      </c>
      <c r="AB12" s="46">
        <f t="shared" si="5"/>
        <v>4153412</v>
      </c>
      <c r="AC12" s="38">
        <v>2779494</v>
      </c>
      <c r="AD12" s="38">
        <v>1373918</v>
      </c>
      <c r="AF12" s="159">
        <v>4171796</v>
      </c>
      <c r="AG12" s="2">
        <v>3092531</v>
      </c>
      <c r="AI12" s="2">
        <v>7175844</v>
      </c>
      <c r="AJ12" s="23">
        <f t="shared" si="6"/>
        <v>1284612</v>
      </c>
    </row>
    <row r="13" spans="1:36" ht="14.25">
      <c r="A13" s="5">
        <v>5</v>
      </c>
      <c r="B13" s="6" t="s">
        <v>25</v>
      </c>
      <c r="C13" s="85"/>
      <c r="D13" s="70"/>
      <c r="E13" s="8"/>
      <c r="F13" s="8">
        <f t="shared" si="7"/>
        <v>0</v>
      </c>
      <c r="G13" s="10">
        <f t="shared" si="1"/>
        <v>0</v>
      </c>
      <c r="H13" s="30"/>
      <c r="I13" s="8">
        <f t="shared" si="9"/>
        <v>0</v>
      </c>
      <c r="J13" s="30"/>
      <c r="K13" s="8">
        <f t="shared" si="8"/>
        <v>0</v>
      </c>
      <c r="L13" s="8"/>
      <c r="M13" s="8"/>
      <c r="N13" s="8">
        <f t="shared" si="2"/>
        <v>0</v>
      </c>
      <c r="O13" s="70"/>
      <c r="P13" s="70"/>
      <c r="Q13" s="70"/>
      <c r="R13" s="70"/>
      <c r="S13" s="70">
        <f t="shared" si="3"/>
        <v>0</v>
      </c>
      <c r="T13" s="70">
        <v>0</v>
      </c>
      <c r="U13" s="70"/>
      <c r="V13" s="8"/>
      <c r="W13" s="8"/>
      <c r="X13" s="8"/>
      <c r="Y13" s="35">
        <f t="shared" si="4"/>
        <v>0</v>
      </c>
      <c r="Z13" s="36">
        <f t="shared" si="0"/>
        <v>0</v>
      </c>
      <c r="AA13" s="142"/>
      <c r="AB13" s="46">
        <f t="shared" si="5"/>
        <v>1559488</v>
      </c>
      <c r="AC13" s="38">
        <v>1034156</v>
      </c>
      <c r="AD13" s="38">
        <v>525332</v>
      </c>
      <c r="AF13" s="100">
        <v>1539662</v>
      </c>
      <c r="AG13" s="2">
        <v>885595</v>
      </c>
      <c r="AJ13" s="23">
        <f t="shared" si="6"/>
        <v>0</v>
      </c>
    </row>
    <row r="14" spans="1:36" ht="15">
      <c r="A14" s="5">
        <v>6</v>
      </c>
      <c r="B14" s="6" t="s">
        <v>26</v>
      </c>
      <c r="C14" s="85">
        <v>5</v>
      </c>
      <c r="D14" s="70">
        <f>AB14</f>
        <v>4135177</v>
      </c>
      <c r="E14" s="8"/>
      <c r="F14" s="8">
        <f t="shared" si="7"/>
        <v>4135177</v>
      </c>
      <c r="G14" s="207">
        <f t="shared" si="1"/>
        <v>6983467</v>
      </c>
      <c r="H14" s="30">
        <v>6983467</v>
      </c>
      <c r="I14" s="84">
        <f t="shared" si="9"/>
        <v>15811116</v>
      </c>
      <c r="J14" s="30">
        <v>15811116</v>
      </c>
      <c r="K14" s="8">
        <f t="shared" si="8"/>
        <v>294655</v>
      </c>
      <c r="L14" s="30">
        <v>294655</v>
      </c>
      <c r="M14" s="8"/>
      <c r="N14" s="84">
        <f t="shared" si="2"/>
        <v>8226195</v>
      </c>
      <c r="O14" s="30">
        <v>8226195</v>
      </c>
      <c r="P14" s="70"/>
      <c r="Q14" s="70"/>
      <c r="R14" s="70"/>
      <c r="S14" s="70">
        <f t="shared" si="3"/>
        <v>0</v>
      </c>
      <c r="T14" s="70">
        <v>0</v>
      </c>
      <c r="U14" s="70"/>
      <c r="V14" s="84">
        <v>4650839</v>
      </c>
      <c r="W14" s="8">
        <v>618785</v>
      </c>
      <c r="X14" s="8"/>
      <c r="Y14" s="35">
        <f t="shared" si="4"/>
        <v>36585057</v>
      </c>
      <c r="Z14" s="36">
        <f t="shared" si="0"/>
        <v>40720234</v>
      </c>
      <c r="AA14" s="142">
        <f>(D14)/Z14*100</f>
        <v>10.15509144667489</v>
      </c>
      <c r="AB14" s="46">
        <f t="shared" si="5"/>
        <v>4135177</v>
      </c>
      <c r="AC14" s="38">
        <v>2687870</v>
      </c>
      <c r="AD14" s="38">
        <v>1447307</v>
      </c>
      <c r="AF14" s="159">
        <v>4122846</v>
      </c>
      <c r="AG14" s="2">
        <v>2777067</v>
      </c>
      <c r="AI14" s="2">
        <v>6216728</v>
      </c>
      <c r="AJ14" s="23">
        <f t="shared" si="6"/>
        <v>6216728</v>
      </c>
    </row>
    <row r="15" spans="1:36" ht="15">
      <c r="A15" s="5">
        <v>7</v>
      </c>
      <c r="B15" s="6" t="s">
        <v>27</v>
      </c>
      <c r="C15" s="85">
        <v>3</v>
      </c>
      <c r="D15" s="70">
        <f>AB15</f>
        <v>3031588</v>
      </c>
      <c r="E15" s="8"/>
      <c r="F15" s="8">
        <f t="shared" si="7"/>
        <v>3031588</v>
      </c>
      <c r="G15" s="10">
        <f t="shared" si="1"/>
        <v>2260697</v>
      </c>
      <c r="H15" s="30">
        <v>2260697</v>
      </c>
      <c r="I15" s="84">
        <f t="shared" si="9"/>
        <v>4460102</v>
      </c>
      <c r="J15" s="30">
        <v>4460102</v>
      </c>
      <c r="K15" s="8">
        <f t="shared" si="8"/>
        <v>185758</v>
      </c>
      <c r="L15" s="30">
        <v>185758</v>
      </c>
      <c r="M15" s="8"/>
      <c r="N15" s="84">
        <f t="shared" si="2"/>
        <v>3614670</v>
      </c>
      <c r="O15" s="70"/>
      <c r="P15" s="30">
        <v>3614670</v>
      </c>
      <c r="Q15" s="70"/>
      <c r="R15" s="70"/>
      <c r="S15" s="70">
        <f t="shared" si="3"/>
        <v>0</v>
      </c>
      <c r="T15" s="70">
        <v>0</v>
      </c>
      <c r="U15" s="70"/>
      <c r="V15" s="8">
        <v>405</v>
      </c>
      <c r="W15" s="8">
        <v>794797</v>
      </c>
      <c r="X15" s="8"/>
      <c r="Y15" s="35">
        <f t="shared" si="4"/>
        <v>11316429</v>
      </c>
      <c r="Z15" s="36">
        <f t="shared" si="0"/>
        <v>14348017</v>
      </c>
      <c r="AA15" s="142">
        <f>(D15)/Z15*100</f>
        <v>21.12896855363358</v>
      </c>
      <c r="AB15" s="46">
        <f t="shared" si="5"/>
        <v>3031588</v>
      </c>
      <c r="AC15" s="38">
        <v>1320642</v>
      </c>
      <c r="AD15" s="38">
        <v>1710946</v>
      </c>
      <c r="AF15" s="159">
        <v>3022224</v>
      </c>
      <c r="AG15" s="2">
        <v>2286362</v>
      </c>
      <c r="AH15" s="23"/>
      <c r="AI15" s="23">
        <v>2721227</v>
      </c>
      <c r="AJ15" s="23">
        <f t="shared" si="6"/>
        <v>2721227</v>
      </c>
    </row>
    <row r="16" spans="1:36" ht="15">
      <c r="A16" s="5">
        <v>8</v>
      </c>
      <c r="B16" s="6" t="s">
        <v>81</v>
      </c>
      <c r="C16" s="85">
        <v>2</v>
      </c>
      <c r="D16" s="70">
        <f>AB16</f>
        <v>1542042</v>
      </c>
      <c r="E16" s="8"/>
      <c r="F16" s="8">
        <f t="shared" si="7"/>
        <v>1542042</v>
      </c>
      <c r="G16" s="207">
        <f t="shared" si="1"/>
        <v>1914645</v>
      </c>
      <c r="H16" s="30">
        <v>1914645</v>
      </c>
      <c r="I16" s="8">
        <f t="shared" si="9"/>
        <v>476232</v>
      </c>
      <c r="J16" s="30">
        <v>476232</v>
      </c>
      <c r="K16" s="8">
        <f t="shared" si="8"/>
        <v>699378</v>
      </c>
      <c r="L16" s="8"/>
      <c r="M16" s="30">
        <v>699378</v>
      </c>
      <c r="N16" s="8">
        <f t="shared" si="2"/>
        <v>448972</v>
      </c>
      <c r="O16" s="70"/>
      <c r="P16" s="70"/>
      <c r="Q16" s="30">
        <v>448972</v>
      </c>
      <c r="R16" s="70"/>
      <c r="S16" s="70">
        <f>T16+U16</f>
        <v>1466812</v>
      </c>
      <c r="T16" s="30">
        <v>1466812</v>
      </c>
      <c r="U16" s="70"/>
      <c r="V16" s="8">
        <v>143</v>
      </c>
      <c r="W16" s="8"/>
      <c r="X16" s="8"/>
      <c r="Y16" s="35">
        <f t="shared" si="4"/>
        <v>5006182</v>
      </c>
      <c r="Z16" s="36">
        <f t="shared" si="0"/>
        <v>6548224</v>
      </c>
      <c r="AA16" s="142">
        <f>(D16)/Z16*100</f>
        <v>23.549011151726027</v>
      </c>
      <c r="AB16" s="46">
        <f t="shared" si="5"/>
        <v>1542042</v>
      </c>
      <c r="AC16" s="38">
        <v>599992</v>
      </c>
      <c r="AD16" s="38">
        <v>942050</v>
      </c>
      <c r="AF16" s="159">
        <v>1527016</v>
      </c>
      <c r="AG16" s="23">
        <v>1156410</v>
      </c>
      <c r="AH16" s="23"/>
      <c r="AI16" s="2">
        <v>1220916</v>
      </c>
      <c r="AJ16" s="23">
        <f t="shared" si="6"/>
        <v>-245896</v>
      </c>
    </row>
    <row r="17" spans="1:36" ht="15">
      <c r="A17" s="5">
        <v>9</v>
      </c>
      <c r="B17" s="6" t="s">
        <v>82</v>
      </c>
      <c r="C17" s="85">
        <v>3</v>
      </c>
      <c r="D17" s="70">
        <f>AB17</f>
        <v>1092458</v>
      </c>
      <c r="E17" s="8"/>
      <c r="F17" s="8">
        <f t="shared" si="7"/>
        <v>1092458</v>
      </c>
      <c r="G17" s="207">
        <f t="shared" si="1"/>
        <v>2320283</v>
      </c>
      <c r="H17" s="30">
        <v>2320283</v>
      </c>
      <c r="I17" s="8">
        <f t="shared" si="9"/>
        <v>610925</v>
      </c>
      <c r="J17" s="30">
        <v>610925</v>
      </c>
      <c r="K17" s="84">
        <f t="shared" si="8"/>
        <v>1808200</v>
      </c>
      <c r="L17" s="8"/>
      <c r="M17" s="30">
        <v>1808200</v>
      </c>
      <c r="N17" s="8">
        <f t="shared" si="2"/>
        <v>208269</v>
      </c>
      <c r="O17" s="30">
        <v>208269</v>
      </c>
      <c r="P17" s="70"/>
      <c r="Q17" s="70"/>
      <c r="R17" s="70"/>
      <c r="S17" s="70">
        <f t="shared" si="3"/>
        <v>0</v>
      </c>
      <c r="T17" s="70">
        <v>0</v>
      </c>
      <c r="U17" s="70"/>
      <c r="V17" s="8">
        <v>312</v>
      </c>
      <c r="W17" s="8"/>
      <c r="X17" s="8"/>
      <c r="Y17" s="35">
        <f t="shared" si="4"/>
        <v>4947989</v>
      </c>
      <c r="Z17" s="36">
        <f t="shared" si="0"/>
        <v>6040447</v>
      </c>
      <c r="AA17" s="142">
        <f>(D17)/Z17*100</f>
        <v>18.08571451748521</v>
      </c>
      <c r="AB17" s="46">
        <f t="shared" si="5"/>
        <v>1092458</v>
      </c>
      <c r="AC17" s="38">
        <v>988697</v>
      </c>
      <c r="AD17" s="38">
        <v>103761</v>
      </c>
      <c r="AF17" s="159">
        <v>1084195</v>
      </c>
      <c r="AG17" s="23">
        <v>898433</v>
      </c>
      <c r="AI17" s="23">
        <v>322331</v>
      </c>
      <c r="AJ17" s="23">
        <f t="shared" si="6"/>
        <v>322331</v>
      </c>
    </row>
    <row r="18" spans="1:36" ht="14.25">
      <c r="A18" s="5">
        <v>10</v>
      </c>
      <c r="B18" s="6" t="s">
        <v>30</v>
      </c>
      <c r="C18" s="85"/>
      <c r="D18" s="70"/>
      <c r="E18" s="8"/>
      <c r="F18" s="8">
        <f t="shared" si="7"/>
        <v>0</v>
      </c>
      <c r="G18" s="10">
        <f t="shared" si="1"/>
        <v>0</v>
      </c>
      <c r="H18" s="30"/>
      <c r="I18" s="8">
        <f t="shared" si="9"/>
        <v>0</v>
      </c>
      <c r="J18" s="30"/>
      <c r="K18" s="8">
        <f t="shared" si="8"/>
        <v>0</v>
      </c>
      <c r="L18" s="8"/>
      <c r="M18" s="8"/>
      <c r="N18" s="8">
        <f t="shared" si="2"/>
        <v>0</v>
      </c>
      <c r="O18" s="70"/>
      <c r="P18" s="70"/>
      <c r="Q18" s="70"/>
      <c r="R18" s="70"/>
      <c r="S18" s="70">
        <f t="shared" si="3"/>
        <v>0</v>
      </c>
      <c r="T18" s="70">
        <v>0</v>
      </c>
      <c r="U18" s="70"/>
      <c r="V18" s="8"/>
      <c r="W18" s="8"/>
      <c r="X18" s="8"/>
      <c r="Y18" s="35">
        <f t="shared" si="4"/>
        <v>0</v>
      </c>
      <c r="Z18" s="36">
        <f t="shared" si="0"/>
        <v>0</v>
      </c>
      <c r="AA18" s="142"/>
      <c r="AB18" s="46">
        <f t="shared" si="5"/>
        <v>1594348</v>
      </c>
      <c r="AC18" s="38">
        <v>1144320</v>
      </c>
      <c r="AD18" s="38">
        <v>450028</v>
      </c>
      <c r="AF18" s="100">
        <v>1600605</v>
      </c>
      <c r="AG18" s="2">
        <v>1073097</v>
      </c>
      <c r="AJ18" s="23">
        <f t="shared" si="6"/>
        <v>0</v>
      </c>
    </row>
    <row r="19" spans="1:36" ht="15">
      <c r="A19" s="5">
        <v>11</v>
      </c>
      <c r="B19" s="6" t="s">
        <v>31</v>
      </c>
      <c r="C19" s="85">
        <v>2</v>
      </c>
      <c r="D19" s="70">
        <f>AB19</f>
        <v>6834797</v>
      </c>
      <c r="E19" s="8"/>
      <c r="F19" s="8">
        <f t="shared" si="7"/>
        <v>6834797</v>
      </c>
      <c r="G19" s="207">
        <f t="shared" si="1"/>
        <v>16005226</v>
      </c>
      <c r="H19" s="30">
        <v>16005226</v>
      </c>
      <c r="I19" s="8">
        <f t="shared" si="9"/>
        <v>6578801</v>
      </c>
      <c r="J19" s="30">
        <v>6578801</v>
      </c>
      <c r="K19" s="8">
        <f t="shared" si="8"/>
        <v>1563895</v>
      </c>
      <c r="L19" s="30">
        <v>1563895</v>
      </c>
      <c r="M19" s="8"/>
      <c r="N19" s="8">
        <f>R19</f>
        <v>6070121</v>
      </c>
      <c r="O19" s="70"/>
      <c r="P19" s="70"/>
      <c r="Q19" s="70"/>
      <c r="R19" s="30">
        <v>6070121</v>
      </c>
      <c r="S19" s="70">
        <f t="shared" si="3"/>
        <v>0</v>
      </c>
      <c r="T19" s="70">
        <v>0</v>
      </c>
      <c r="U19" s="70"/>
      <c r="V19" s="8">
        <v>686045</v>
      </c>
      <c r="W19" s="8"/>
      <c r="X19" s="8"/>
      <c r="Y19" s="35">
        <f t="shared" si="4"/>
        <v>30904088</v>
      </c>
      <c r="Z19" s="36">
        <f t="shared" si="0"/>
        <v>37738885</v>
      </c>
      <c r="AA19" s="142">
        <f>(D19)/Z19*100</f>
        <v>18.11075499448381</v>
      </c>
      <c r="AB19" s="46">
        <f t="shared" si="5"/>
        <v>6834797</v>
      </c>
      <c r="AC19" s="38">
        <v>5431487</v>
      </c>
      <c r="AD19" s="38">
        <v>1403310</v>
      </c>
      <c r="AF19" s="159">
        <v>6807210</v>
      </c>
      <c r="AG19" s="23">
        <v>3143061</v>
      </c>
      <c r="AI19" s="23">
        <v>6393570</v>
      </c>
      <c r="AJ19" s="23">
        <f t="shared" si="6"/>
        <v>6393570</v>
      </c>
    </row>
    <row r="20" spans="1:36" ht="15">
      <c r="A20" s="5">
        <v>12</v>
      </c>
      <c r="B20" s="6" t="s">
        <v>32</v>
      </c>
      <c r="C20" s="85">
        <v>2</v>
      </c>
      <c r="D20" s="70">
        <f>AB20</f>
        <v>7372813</v>
      </c>
      <c r="E20" s="8"/>
      <c r="F20" s="8">
        <f t="shared" si="7"/>
        <v>7372813</v>
      </c>
      <c r="G20" s="10">
        <f>H20</f>
        <v>3464751</v>
      </c>
      <c r="H20" s="30">
        <v>3464751</v>
      </c>
      <c r="I20" s="8">
        <f t="shared" si="9"/>
        <v>6099518</v>
      </c>
      <c r="J20" s="30">
        <v>6099518</v>
      </c>
      <c r="K20" s="8">
        <f t="shared" si="8"/>
        <v>354883</v>
      </c>
      <c r="L20" s="8"/>
      <c r="M20" s="30">
        <v>354883</v>
      </c>
      <c r="N20" s="84">
        <f t="shared" si="2"/>
        <v>7869341</v>
      </c>
      <c r="O20" s="70"/>
      <c r="P20" s="30">
        <v>7869341</v>
      </c>
      <c r="Q20" s="70"/>
      <c r="R20" s="70"/>
      <c r="S20" s="70">
        <f t="shared" si="3"/>
        <v>0</v>
      </c>
      <c r="T20" s="70">
        <v>0</v>
      </c>
      <c r="U20" s="70"/>
      <c r="V20" s="8">
        <v>263745</v>
      </c>
      <c r="W20" s="8"/>
      <c r="X20" s="8"/>
      <c r="Y20" s="35">
        <f t="shared" si="4"/>
        <v>18052238</v>
      </c>
      <c r="Z20" s="36">
        <f t="shared" si="0"/>
        <v>25425051</v>
      </c>
      <c r="AA20" s="142">
        <f>(D20)/Z20*100</f>
        <v>28.998223051745303</v>
      </c>
      <c r="AB20" s="46">
        <f t="shared" si="5"/>
        <v>7372813</v>
      </c>
      <c r="AC20" s="38">
        <v>4376803</v>
      </c>
      <c r="AD20" s="38">
        <v>2996010</v>
      </c>
      <c r="AF20" s="159">
        <v>7328110</v>
      </c>
      <c r="AG20" s="2">
        <v>3438993</v>
      </c>
      <c r="AI20" s="2">
        <v>3615118</v>
      </c>
      <c r="AJ20" s="23">
        <f t="shared" si="6"/>
        <v>3615118</v>
      </c>
    </row>
    <row r="21" spans="1:36" ht="15">
      <c r="A21" s="5">
        <v>13</v>
      </c>
      <c r="B21" s="6" t="s">
        <v>83</v>
      </c>
      <c r="C21" s="85">
        <v>4</v>
      </c>
      <c r="D21" s="70">
        <f>AB21+AB13</f>
        <v>4926265</v>
      </c>
      <c r="E21" s="8"/>
      <c r="F21" s="8">
        <f t="shared" si="7"/>
        <v>4926265</v>
      </c>
      <c r="G21" s="207">
        <f t="shared" si="1"/>
        <v>9796757</v>
      </c>
      <c r="H21" s="30">
        <v>9796757</v>
      </c>
      <c r="I21" s="8">
        <f t="shared" si="9"/>
        <v>3966891</v>
      </c>
      <c r="J21" s="30">
        <v>3966891</v>
      </c>
      <c r="K21" s="8">
        <f t="shared" si="8"/>
        <v>653287</v>
      </c>
      <c r="L21" s="30">
        <v>653287</v>
      </c>
      <c r="M21" s="8"/>
      <c r="N21" s="84">
        <f t="shared" si="2"/>
        <v>14991810</v>
      </c>
      <c r="O21" s="30">
        <v>14991810</v>
      </c>
      <c r="P21" s="70"/>
      <c r="Q21" s="70"/>
      <c r="R21" s="70"/>
      <c r="S21" s="93">
        <f>T21+U21</f>
        <v>8313704</v>
      </c>
      <c r="T21" s="30">
        <v>8313704</v>
      </c>
      <c r="U21" s="70"/>
      <c r="V21" s="8">
        <v>1255</v>
      </c>
      <c r="W21" s="8">
        <v>806625</v>
      </c>
      <c r="X21" s="8"/>
      <c r="Y21" s="35">
        <f t="shared" si="4"/>
        <v>38530329</v>
      </c>
      <c r="Z21" s="36">
        <f t="shared" si="0"/>
        <v>43456594</v>
      </c>
      <c r="AA21" s="142">
        <f>(D21)/Z21*100</f>
        <v>11.336058688814866</v>
      </c>
      <c r="AB21" s="46">
        <f t="shared" si="5"/>
        <v>3366777</v>
      </c>
      <c r="AC21" s="38">
        <v>2197262</v>
      </c>
      <c r="AD21" s="38">
        <v>1169515</v>
      </c>
      <c r="AF21" s="159">
        <v>3262028</v>
      </c>
      <c r="AG21" s="2">
        <v>2094151</v>
      </c>
      <c r="AI21" s="2">
        <v>9032056</v>
      </c>
      <c r="AJ21" s="23">
        <f t="shared" si="6"/>
        <v>718352</v>
      </c>
    </row>
    <row r="22" spans="1:36" ht="15">
      <c r="A22" s="5">
        <v>14</v>
      </c>
      <c r="B22" s="6" t="s">
        <v>34</v>
      </c>
      <c r="C22" s="85">
        <v>4</v>
      </c>
      <c r="D22" s="70">
        <f>AB22</f>
        <v>6583966</v>
      </c>
      <c r="E22" s="8"/>
      <c r="F22" s="8">
        <f t="shared" si="7"/>
        <v>6583966</v>
      </c>
      <c r="G22" s="207">
        <f t="shared" si="1"/>
        <v>9930085</v>
      </c>
      <c r="H22" s="30">
        <v>9930085</v>
      </c>
      <c r="I22" s="84">
        <f t="shared" si="9"/>
        <v>13074351</v>
      </c>
      <c r="J22" s="30">
        <v>13074351</v>
      </c>
      <c r="K22" s="8">
        <f t="shared" si="8"/>
        <v>1134782</v>
      </c>
      <c r="L22" s="30">
        <v>1134782</v>
      </c>
      <c r="M22" s="8"/>
      <c r="N22" s="84">
        <f t="shared" si="2"/>
        <v>15840410</v>
      </c>
      <c r="O22" s="30">
        <v>15840410</v>
      </c>
      <c r="P22" s="70"/>
      <c r="Q22" s="70"/>
      <c r="R22" s="70"/>
      <c r="S22" s="70">
        <f t="shared" si="3"/>
        <v>0</v>
      </c>
      <c r="T22" s="70">
        <v>0</v>
      </c>
      <c r="U22" s="70"/>
      <c r="V22" s="8">
        <v>5502934</v>
      </c>
      <c r="W22" s="8"/>
      <c r="X22" s="8"/>
      <c r="Y22" s="35">
        <f t="shared" si="4"/>
        <v>45482562</v>
      </c>
      <c r="Z22" s="36">
        <f t="shared" si="0"/>
        <v>52066528</v>
      </c>
      <c r="AA22" s="142">
        <f>(D22)/Z22*100</f>
        <v>12.645294881195074</v>
      </c>
      <c r="AB22" s="46">
        <f t="shared" si="5"/>
        <v>6583966</v>
      </c>
      <c r="AC22" s="38">
        <v>4185327</v>
      </c>
      <c r="AD22" s="38">
        <v>2398639</v>
      </c>
      <c r="AF22" s="159">
        <v>6526749</v>
      </c>
      <c r="AG22" s="23">
        <v>4213244</v>
      </c>
      <c r="AI22" s="2">
        <v>7772003</v>
      </c>
      <c r="AJ22" s="23">
        <f t="shared" si="6"/>
        <v>7772003</v>
      </c>
    </row>
    <row r="23" spans="1:36" ht="15">
      <c r="A23" s="5">
        <v>15</v>
      </c>
      <c r="B23" s="6" t="s">
        <v>35</v>
      </c>
      <c r="C23" s="85">
        <v>3</v>
      </c>
      <c r="D23" s="70">
        <f>AB23+AB24</f>
        <v>1587093</v>
      </c>
      <c r="E23" s="8"/>
      <c r="F23" s="8">
        <f t="shared" si="7"/>
        <v>1587093</v>
      </c>
      <c r="G23" s="207">
        <f t="shared" si="1"/>
        <v>2610008</v>
      </c>
      <c r="H23" s="30">
        <v>2610008</v>
      </c>
      <c r="I23" s="8">
        <f t="shared" si="9"/>
        <v>939346</v>
      </c>
      <c r="J23" s="30">
        <v>939346</v>
      </c>
      <c r="K23" s="84">
        <f t="shared" si="8"/>
        <v>2338464</v>
      </c>
      <c r="L23" s="8"/>
      <c r="M23" s="30">
        <v>2338464</v>
      </c>
      <c r="N23" s="8">
        <f t="shared" si="2"/>
        <v>267417</v>
      </c>
      <c r="O23" s="30">
        <v>267417</v>
      </c>
      <c r="P23" s="70"/>
      <c r="Q23" s="70"/>
      <c r="R23" s="70"/>
      <c r="S23" s="70">
        <f>T23</f>
        <v>836595</v>
      </c>
      <c r="T23" s="30">
        <v>836595</v>
      </c>
      <c r="U23" s="70"/>
      <c r="V23" s="8">
        <v>90</v>
      </c>
      <c r="W23" s="8"/>
      <c r="X23" s="8"/>
      <c r="Y23" s="35">
        <f t="shared" si="4"/>
        <v>6991920</v>
      </c>
      <c r="Z23" s="36">
        <f t="shared" si="0"/>
        <v>8579013</v>
      </c>
      <c r="AA23" s="142">
        <f>(D23)/Z23*100</f>
        <v>18.499715526716184</v>
      </c>
      <c r="AB23" s="46">
        <f t="shared" si="5"/>
        <v>847763</v>
      </c>
      <c r="AC23" s="38">
        <v>596040</v>
      </c>
      <c r="AD23" s="38">
        <v>251723</v>
      </c>
      <c r="AF23" s="159">
        <v>838357</v>
      </c>
      <c r="AG23" s="23">
        <v>383286</v>
      </c>
      <c r="AI23" s="2">
        <v>528185</v>
      </c>
      <c r="AJ23" s="23">
        <f t="shared" si="6"/>
        <v>-308410</v>
      </c>
    </row>
    <row r="24" spans="1:36" ht="14.25">
      <c r="A24" s="5">
        <v>16</v>
      </c>
      <c r="B24" s="6" t="s">
        <v>36</v>
      </c>
      <c r="C24" s="85"/>
      <c r="D24" s="70"/>
      <c r="E24" s="8"/>
      <c r="F24" s="8">
        <f>D24+E24</f>
        <v>0</v>
      </c>
      <c r="G24" s="10">
        <f t="shared" si="1"/>
        <v>0</v>
      </c>
      <c r="H24" s="30"/>
      <c r="I24" s="8">
        <f t="shared" si="9"/>
        <v>0</v>
      </c>
      <c r="J24" s="30"/>
      <c r="K24" s="8">
        <f t="shared" si="8"/>
        <v>0</v>
      </c>
      <c r="L24" s="8"/>
      <c r="N24" s="8">
        <f t="shared" si="2"/>
        <v>0</v>
      </c>
      <c r="O24" s="70"/>
      <c r="P24" s="70"/>
      <c r="Q24" s="70"/>
      <c r="R24" s="70"/>
      <c r="S24" s="70">
        <f t="shared" si="3"/>
        <v>0</v>
      </c>
      <c r="T24" s="70">
        <v>0</v>
      </c>
      <c r="U24" s="70"/>
      <c r="V24" s="8"/>
      <c r="W24" s="8"/>
      <c r="X24" s="8"/>
      <c r="Y24" s="35">
        <f t="shared" si="4"/>
        <v>0</v>
      </c>
      <c r="Z24" s="36">
        <f t="shared" si="0"/>
        <v>0</v>
      </c>
      <c r="AA24" s="142"/>
      <c r="AB24" s="46">
        <f t="shared" si="5"/>
        <v>739330</v>
      </c>
      <c r="AC24" s="38">
        <v>440847</v>
      </c>
      <c r="AD24" s="38">
        <v>298483</v>
      </c>
      <c r="AF24" s="100">
        <v>751662</v>
      </c>
      <c r="AG24" s="2">
        <v>474893</v>
      </c>
      <c r="AJ24" s="23">
        <f t="shared" si="6"/>
        <v>0</v>
      </c>
    </row>
    <row r="25" spans="1:36" ht="15">
      <c r="A25" s="5">
        <v>17</v>
      </c>
      <c r="B25" s="6" t="s">
        <v>37</v>
      </c>
      <c r="C25" s="85">
        <v>2</v>
      </c>
      <c r="D25" s="70">
        <f>AB25</f>
        <v>4396977</v>
      </c>
      <c r="E25" s="8"/>
      <c r="F25" s="8">
        <f t="shared" si="7"/>
        <v>4396977</v>
      </c>
      <c r="G25" s="207">
        <f t="shared" si="1"/>
        <v>6756065</v>
      </c>
      <c r="H25" s="30">
        <v>6756065</v>
      </c>
      <c r="I25" s="8">
        <f t="shared" si="9"/>
        <v>2875352</v>
      </c>
      <c r="J25" s="30">
        <v>2875352</v>
      </c>
      <c r="K25" s="8">
        <f t="shared" si="8"/>
        <v>2893967</v>
      </c>
      <c r="L25" s="8"/>
      <c r="M25" s="30">
        <v>2893967</v>
      </c>
      <c r="N25" s="8">
        <f t="shared" si="2"/>
        <v>963793</v>
      </c>
      <c r="O25" s="30">
        <v>963793</v>
      </c>
      <c r="P25" s="70"/>
      <c r="Q25" s="70"/>
      <c r="R25" s="70"/>
      <c r="S25" s="70">
        <f>T25+U25</f>
        <v>3664119</v>
      </c>
      <c r="T25" s="30">
        <v>3664119</v>
      </c>
      <c r="U25" s="70"/>
      <c r="V25" s="8">
        <v>701887</v>
      </c>
      <c r="W25" s="8"/>
      <c r="X25" s="8"/>
      <c r="Y25" s="35">
        <f t="shared" si="4"/>
        <v>17855183</v>
      </c>
      <c r="Z25" s="36">
        <f t="shared" si="0"/>
        <v>22252160</v>
      </c>
      <c r="AA25" s="142">
        <f>(D25)/Z25*100</f>
        <v>19.759776129598205</v>
      </c>
      <c r="AB25" s="46">
        <f t="shared" si="5"/>
        <v>4396977</v>
      </c>
      <c r="AC25" s="38">
        <v>2600334</v>
      </c>
      <c r="AD25" s="38">
        <v>1796643</v>
      </c>
      <c r="AF25" s="159">
        <v>4363973</v>
      </c>
      <c r="AG25" s="2">
        <v>2083541</v>
      </c>
      <c r="AI25" s="2">
        <v>2854476</v>
      </c>
      <c r="AJ25" s="23">
        <f t="shared" si="6"/>
        <v>-809643</v>
      </c>
    </row>
    <row r="26" spans="1:36" ht="15">
      <c r="A26" s="5">
        <v>18</v>
      </c>
      <c r="B26" s="6" t="s">
        <v>38</v>
      </c>
      <c r="C26" s="85">
        <v>3</v>
      </c>
      <c r="D26" s="70">
        <f>AB26</f>
        <v>4355262</v>
      </c>
      <c r="E26" s="8"/>
      <c r="F26" s="8">
        <f t="shared" si="7"/>
        <v>4355262</v>
      </c>
      <c r="G26" s="207">
        <f t="shared" si="1"/>
        <v>6857498</v>
      </c>
      <c r="H26" s="30">
        <v>6857498</v>
      </c>
      <c r="I26" s="8">
        <f t="shared" si="9"/>
        <v>4329581</v>
      </c>
      <c r="J26" s="30">
        <v>4329581</v>
      </c>
      <c r="K26" s="8">
        <f t="shared" si="8"/>
        <v>972375</v>
      </c>
      <c r="L26" s="30">
        <v>972375</v>
      </c>
      <c r="M26" s="8"/>
      <c r="N26" s="84">
        <f>R26</f>
        <v>5565174</v>
      </c>
      <c r="O26" s="70"/>
      <c r="P26" s="70"/>
      <c r="Q26" s="70"/>
      <c r="R26" s="30">
        <v>5565174</v>
      </c>
      <c r="S26" s="70">
        <f t="shared" si="3"/>
        <v>0</v>
      </c>
      <c r="T26" s="70">
        <v>0</v>
      </c>
      <c r="U26" s="70"/>
      <c r="V26" s="8">
        <v>411</v>
      </c>
      <c r="W26" s="8"/>
      <c r="X26" s="8"/>
      <c r="Y26" s="35">
        <f t="shared" si="4"/>
        <v>17725039</v>
      </c>
      <c r="Z26" s="36">
        <f t="shared" si="0"/>
        <v>22080301</v>
      </c>
      <c r="AA26" s="142">
        <f>(D26)/Z26*100</f>
        <v>19.724649586978003</v>
      </c>
      <c r="AB26" s="46">
        <f t="shared" si="5"/>
        <v>4355262</v>
      </c>
      <c r="AC26" s="38">
        <v>2643407</v>
      </c>
      <c r="AD26" s="38">
        <v>1711855</v>
      </c>
      <c r="AF26" s="159">
        <v>4342728</v>
      </c>
      <c r="AG26" s="2">
        <v>3411009</v>
      </c>
      <c r="AH26" s="23"/>
      <c r="AI26" s="2">
        <v>2974243</v>
      </c>
      <c r="AJ26" s="23">
        <f t="shared" si="6"/>
        <v>2974243</v>
      </c>
    </row>
    <row r="27" spans="1:36" ht="15">
      <c r="A27" s="5">
        <v>19</v>
      </c>
      <c r="B27" s="6" t="s">
        <v>39</v>
      </c>
      <c r="C27" s="85">
        <v>3</v>
      </c>
      <c r="D27" s="70">
        <f>AB27</f>
        <v>5730522</v>
      </c>
      <c r="E27" s="8"/>
      <c r="F27" s="8">
        <f t="shared" si="7"/>
        <v>5730522</v>
      </c>
      <c r="G27" s="207">
        <f t="shared" si="1"/>
        <v>14379504</v>
      </c>
      <c r="H27" s="30">
        <v>14379504</v>
      </c>
      <c r="I27" s="84">
        <f t="shared" si="9"/>
        <v>8637532</v>
      </c>
      <c r="J27" s="30">
        <v>8637532</v>
      </c>
      <c r="K27" s="8">
        <f t="shared" si="8"/>
        <v>2792442</v>
      </c>
      <c r="L27" s="30">
        <v>2792442</v>
      </c>
      <c r="M27" s="8"/>
      <c r="N27" s="8">
        <f t="shared" si="2"/>
        <v>4674801</v>
      </c>
      <c r="O27" s="70"/>
      <c r="P27" s="70"/>
      <c r="Q27" s="30">
        <v>4674801</v>
      </c>
      <c r="R27" s="70"/>
      <c r="S27" s="70">
        <f t="shared" si="3"/>
        <v>0</v>
      </c>
      <c r="T27" s="70">
        <v>0</v>
      </c>
      <c r="U27" s="70"/>
      <c r="V27" s="8">
        <v>1032</v>
      </c>
      <c r="W27" s="8"/>
      <c r="X27" s="8"/>
      <c r="Y27" s="35">
        <f t="shared" si="4"/>
        <v>30485311</v>
      </c>
      <c r="Z27" s="36">
        <f t="shared" si="0"/>
        <v>36215833</v>
      </c>
      <c r="AA27" s="142">
        <f>(D27)/Z27*100</f>
        <v>15.823250565574455</v>
      </c>
      <c r="AB27" s="46">
        <f t="shared" si="5"/>
        <v>5730522</v>
      </c>
      <c r="AC27" s="38">
        <v>3939287</v>
      </c>
      <c r="AD27" s="38">
        <v>1791235</v>
      </c>
      <c r="AF27" s="159">
        <v>5747383</v>
      </c>
      <c r="AG27" s="2">
        <v>3593805</v>
      </c>
      <c r="AH27" s="23"/>
      <c r="AI27" s="2">
        <v>5678598</v>
      </c>
      <c r="AJ27" s="23">
        <f t="shared" si="6"/>
        <v>5678598</v>
      </c>
    </row>
    <row r="28" spans="1:36" ht="15">
      <c r="A28" s="5">
        <v>20</v>
      </c>
      <c r="B28" s="6" t="s">
        <v>40</v>
      </c>
      <c r="C28" s="85">
        <v>4</v>
      </c>
      <c r="D28" s="70">
        <f>AB28</f>
        <v>7793655</v>
      </c>
      <c r="E28" s="8"/>
      <c r="F28" s="8">
        <f t="shared" si="7"/>
        <v>7793655</v>
      </c>
      <c r="G28" s="207">
        <f t="shared" si="1"/>
        <v>9704534</v>
      </c>
      <c r="H28" s="30">
        <v>9704534</v>
      </c>
      <c r="I28" s="84">
        <f t="shared" si="9"/>
        <v>9889964</v>
      </c>
      <c r="J28" s="30">
        <v>9889964</v>
      </c>
      <c r="K28" s="84">
        <f t="shared" si="8"/>
        <v>17555412</v>
      </c>
      <c r="L28" s="30">
        <v>17555412</v>
      </c>
      <c r="M28" s="8"/>
      <c r="N28" s="8">
        <f t="shared" si="2"/>
        <v>2228730</v>
      </c>
      <c r="O28" s="30">
        <v>2228730</v>
      </c>
      <c r="P28" s="70"/>
      <c r="Q28" s="70"/>
      <c r="R28" s="70"/>
      <c r="S28" s="70">
        <f t="shared" si="3"/>
        <v>0</v>
      </c>
      <c r="T28" s="70">
        <v>0</v>
      </c>
      <c r="U28" s="70"/>
      <c r="V28" s="8">
        <v>505180</v>
      </c>
      <c r="W28" s="8"/>
      <c r="X28" s="8"/>
      <c r="Y28" s="35">
        <f t="shared" si="4"/>
        <v>39883820</v>
      </c>
      <c r="Z28" s="36">
        <f t="shared" si="0"/>
        <v>47677475</v>
      </c>
      <c r="AA28" s="142">
        <f>(D28)/Z28*100</f>
        <v>16.346618607633896</v>
      </c>
      <c r="AB28" s="46">
        <f t="shared" si="5"/>
        <v>7793655</v>
      </c>
      <c r="AC28" s="38">
        <v>6933214</v>
      </c>
      <c r="AD28" s="38">
        <v>860441</v>
      </c>
      <c r="AF28" s="159">
        <v>7744546</v>
      </c>
      <c r="AG28" s="2">
        <v>4020802</v>
      </c>
      <c r="AI28" s="2">
        <v>5592238</v>
      </c>
      <c r="AJ28" s="23">
        <f t="shared" si="6"/>
        <v>5592238</v>
      </c>
    </row>
    <row r="29" spans="1:36" ht="14.25">
      <c r="A29" s="5">
        <v>21</v>
      </c>
      <c r="B29" s="6" t="s">
        <v>41</v>
      </c>
      <c r="C29" s="85"/>
      <c r="D29" s="70"/>
      <c r="E29" s="8"/>
      <c r="F29" s="8">
        <f t="shared" si="7"/>
        <v>0</v>
      </c>
      <c r="G29" s="10">
        <f t="shared" si="1"/>
        <v>0</v>
      </c>
      <c r="H29" s="30"/>
      <c r="I29" s="8">
        <f t="shared" si="9"/>
        <v>0</v>
      </c>
      <c r="J29" s="30"/>
      <c r="K29" s="8">
        <f t="shared" si="8"/>
        <v>0</v>
      </c>
      <c r="L29" s="8"/>
      <c r="M29" s="8"/>
      <c r="N29" s="8">
        <f t="shared" si="2"/>
        <v>0</v>
      </c>
      <c r="O29" s="70"/>
      <c r="P29" s="70"/>
      <c r="Q29" s="70"/>
      <c r="R29" s="70"/>
      <c r="S29" s="70">
        <f t="shared" si="3"/>
        <v>0</v>
      </c>
      <c r="T29" s="70">
        <v>0</v>
      </c>
      <c r="U29" s="70"/>
      <c r="V29" s="8"/>
      <c r="W29" s="8"/>
      <c r="X29" s="8"/>
      <c r="Y29" s="35">
        <f t="shared" si="4"/>
        <v>0</v>
      </c>
      <c r="Z29" s="36">
        <f t="shared" si="0"/>
        <v>0</v>
      </c>
      <c r="AA29" s="142"/>
      <c r="AB29" s="46">
        <f t="shared" si="5"/>
        <v>1344832</v>
      </c>
      <c r="AC29" s="38">
        <v>743664</v>
      </c>
      <c r="AD29" s="38">
        <v>601168</v>
      </c>
      <c r="AF29" s="100">
        <v>1367030</v>
      </c>
      <c r="AG29" s="2">
        <v>943333</v>
      </c>
      <c r="AJ29" s="23">
        <f t="shared" si="6"/>
        <v>0</v>
      </c>
    </row>
    <row r="30" spans="1:36" ht="15">
      <c r="A30" s="5">
        <v>22</v>
      </c>
      <c r="B30" s="6" t="s">
        <v>84</v>
      </c>
      <c r="C30" s="85">
        <v>3</v>
      </c>
      <c r="D30" s="70">
        <f>AB30</f>
        <v>9881250</v>
      </c>
      <c r="E30" s="8"/>
      <c r="F30" s="8">
        <f t="shared" si="7"/>
        <v>9881250</v>
      </c>
      <c r="G30" s="207">
        <f>H30</f>
        <v>15013282</v>
      </c>
      <c r="H30" s="30">
        <v>15013282</v>
      </c>
      <c r="I30" s="84">
        <f t="shared" si="9"/>
        <v>14491774</v>
      </c>
      <c r="J30" s="30">
        <v>14491774</v>
      </c>
      <c r="K30" s="8">
        <f t="shared" si="8"/>
        <v>3774238</v>
      </c>
      <c r="L30" s="30">
        <v>3774238</v>
      </c>
      <c r="M30" s="8"/>
      <c r="N30" s="8">
        <f t="shared" si="2"/>
        <v>6968905</v>
      </c>
      <c r="O30" s="70"/>
      <c r="P30" s="70"/>
      <c r="Q30" s="30">
        <v>6968905</v>
      </c>
      <c r="R30" s="70"/>
      <c r="S30" s="70">
        <f t="shared" si="3"/>
        <v>0</v>
      </c>
      <c r="T30" s="70">
        <v>0</v>
      </c>
      <c r="U30" s="70"/>
      <c r="V30" s="8">
        <v>7399456</v>
      </c>
      <c r="W30" s="8">
        <v>14629</v>
      </c>
      <c r="X30" s="8"/>
      <c r="Y30" s="35">
        <f t="shared" si="4"/>
        <v>47662284</v>
      </c>
      <c r="Z30" s="36">
        <f t="shared" si="0"/>
        <v>57543534</v>
      </c>
      <c r="AA30" s="142">
        <f aca="true" t="shared" si="10" ref="AA30:AA37">(D30)/Z30*100</f>
        <v>17.17178162884469</v>
      </c>
      <c r="AB30" s="46">
        <f t="shared" si="5"/>
        <v>9881250</v>
      </c>
      <c r="AC30" s="38">
        <v>7060812</v>
      </c>
      <c r="AD30" s="38">
        <v>2820438</v>
      </c>
      <c r="AF30" s="159">
        <v>9870834</v>
      </c>
      <c r="AG30" s="2">
        <v>7180690</v>
      </c>
      <c r="AI30" s="2">
        <v>9442177</v>
      </c>
      <c r="AJ30" s="23">
        <f t="shared" si="6"/>
        <v>9442177</v>
      </c>
    </row>
    <row r="31" spans="1:36" ht="15">
      <c r="A31" s="5">
        <v>23</v>
      </c>
      <c r="B31" s="6" t="s">
        <v>85</v>
      </c>
      <c r="C31" s="85">
        <v>4</v>
      </c>
      <c r="D31" s="70">
        <f>AB31+AB29</f>
        <v>4768840</v>
      </c>
      <c r="E31" s="8"/>
      <c r="F31" s="8">
        <f t="shared" si="7"/>
        <v>4768840</v>
      </c>
      <c r="G31" s="207">
        <f t="shared" si="1"/>
        <v>6532214</v>
      </c>
      <c r="H31" s="30">
        <v>6532214</v>
      </c>
      <c r="I31" s="84">
        <f t="shared" si="9"/>
        <v>9031358</v>
      </c>
      <c r="J31" s="30">
        <v>9031358</v>
      </c>
      <c r="K31" s="8">
        <f t="shared" si="8"/>
        <v>1409150</v>
      </c>
      <c r="L31" s="30">
        <v>1409150</v>
      </c>
      <c r="M31" s="8"/>
      <c r="N31" s="84">
        <f t="shared" si="2"/>
        <v>10385262</v>
      </c>
      <c r="O31" s="70"/>
      <c r="P31" s="30">
        <v>10385262</v>
      </c>
      <c r="Q31" s="70"/>
      <c r="R31" s="70"/>
      <c r="S31" s="70">
        <f>T31+U31</f>
        <v>0</v>
      </c>
      <c r="T31" s="70">
        <v>0</v>
      </c>
      <c r="U31" s="70"/>
      <c r="V31" s="8">
        <v>5119624</v>
      </c>
      <c r="W31" s="8">
        <v>3622</v>
      </c>
      <c r="X31" s="8"/>
      <c r="Y31" s="35">
        <f t="shared" si="4"/>
        <v>32481230</v>
      </c>
      <c r="Z31" s="36">
        <f t="shared" si="0"/>
        <v>37250070</v>
      </c>
      <c r="AA31" s="142">
        <f t="shared" si="10"/>
        <v>12.802230975673334</v>
      </c>
      <c r="AB31" s="46">
        <f t="shared" si="5"/>
        <v>3424008</v>
      </c>
      <c r="AC31" s="38">
        <v>2606470</v>
      </c>
      <c r="AD31" s="38">
        <v>817538</v>
      </c>
      <c r="AF31" s="159">
        <v>3419128</v>
      </c>
      <c r="AG31" s="23">
        <v>2032639</v>
      </c>
      <c r="AI31" s="2">
        <v>6699506</v>
      </c>
      <c r="AJ31" s="23">
        <f t="shared" si="6"/>
        <v>6699506</v>
      </c>
    </row>
    <row r="32" spans="1:36" ht="15">
      <c r="A32" s="5">
        <v>24</v>
      </c>
      <c r="B32" s="6" t="s">
        <v>44</v>
      </c>
      <c r="C32" s="85">
        <v>5</v>
      </c>
      <c r="D32" s="70">
        <f>AB32+AB9</f>
        <v>3547960</v>
      </c>
      <c r="E32" s="8"/>
      <c r="F32" s="8">
        <f t="shared" si="7"/>
        <v>3547960</v>
      </c>
      <c r="G32" s="207">
        <f t="shared" si="1"/>
        <v>9162866</v>
      </c>
      <c r="H32" s="30">
        <v>9162866</v>
      </c>
      <c r="I32" s="84">
        <f t="shared" si="9"/>
        <v>11367866</v>
      </c>
      <c r="J32" s="30">
        <v>11367866</v>
      </c>
      <c r="K32" s="8">
        <f t="shared" si="8"/>
        <v>3053462</v>
      </c>
      <c r="L32" s="8"/>
      <c r="M32" s="30">
        <v>3053462</v>
      </c>
      <c r="N32" s="8">
        <f t="shared" si="2"/>
        <v>2393404</v>
      </c>
      <c r="O32" s="30">
        <v>2393404</v>
      </c>
      <c r="P32" s="70"/>
      <c r="Q32" s="70"/>
      <c r="R32" s="70"/>
      <c r="S32" s="93">
        <f>T32+U32</f>
        <v>6650979</v>
      </c>
      <c r="T32" s="30">
        <v>6650979</v>
      </c>
      <c r="U32" s="70"/>
      <c r="V32" s="84">
        <v>2983788</v>
      </c>
      <c r="W32" s="8"/>
      <c r="X32" s="8"/>
      <c r="Y32" s="35">
        <f t="shared" si="4"/>
        <v>35612365</v>
      </c>
      <c r="Z32" s="36">
        <f t="shared" si="0"/>
        <v>39160325</v>
      </c>
      <c r="AA32" s="142">
        <f t="shared" si="10"/>
        <v>9.060088239819256</v>
      </c>
      <c r="AB32" s="46">
        <f t="shared" si="5"/>
        <v>3347228</v>
      </c>
      <c r="AC32" s="38">
        <v>1662632</v>
      </c>
      <c r="AD32" s="38">
        <v>1684596</v>
      </c>
      <c r="AF32" s="159">
        <v>3346791</v>
      </c>
      <c r="AG32" s="23">
        <v>2055457</v>
      </c>
      <c r="AI32" s="2">
        <v>5199733</v>
      </c>
      <c r="AJ32" s="23">
        <f t="shared" si="6"/>
        <v>-1451246</v>
      </c>
    </row>
    <row r="33" spans="1:36" ht="15">
      <c r="A33" s="5">
        <v>25</v>
      </c>
      <c r="B33" s="6" t="s">
        <v>45</v>
      </c>
      <c r="C33" s="85">
        <v>4</v>
      </c>
      <c r="D33" s="70">
        <f>AB33</f>
        <v>2271280</v>
      </c>
      <c r="E33" s="8"/>
      <c r="F33" s="8">
        <f t="shared" si="7"/>
        <v>2271280</v>
      </c>
      <c r="G33" s="207">
        <f t="shared" si="1"/>
        <v>3662644</v>
      </c>
      <c r="H33" s="30">
        <v>3662644</v>
      </c>
      <c r="I33" s="84">
        <f t="shared" si="9"/>
        <v>4138689</v>
      </c>
      <c r="J33" s="30">
        <v>4138689</v>
      </c>
      <c r="K33" s="8">
        <f t="shared" si="8"/>
        <v>1852675</v>
      </c>
      <c r="L33" s="30">
        <v>1852675</v>
      </c>
      <c r="M33" s="8"/>
      <c r="N33" s="8">
        <f t="shared" si="2"/>
        <v>1250623</v>
      </c>
      <c r="O33" s="30">
        <v>1250623</v>
      </c>
      <c r="P33" s="70"/>
      <c r="Q33" s="70"/>
      <c r="R33" s="70"/>
      <c r="S33" s="93">
        <f>T33+U33</f>
        <v>4123621</v>
      </c>
      <c r="T33" s="30">
        <v>4123621</v>
      </c>
      <c r="U33" s="70"/>
      <c r="V33" s="8">
        <v>1456841</v>
      </c>
      <c r="W33" s="8"/>
      <c r="X33" s="8"/>
      <c r="Y33" s="35">
        <f t="shared" si="4"/>
        <v>16485093</v>
      </c>
      <c r="Z33" s="36">
        <f t="shared" si="0"/>
        <v>18756373</v>
      </c>
      <c r="AA33" s="142">
        <f t="shared" si="10"/>
        <v>12.109377436671792</v>
      </c>
      <c r="AB33" s="46">
        <f t="shared" si="5"/>
        <v>2271280</v>
      </c>
      <c r="AC33" s="38">
        <v>2271280</v>
      </c>
      <c r="AD33" s="38">
        <v>0</v>
      </c>
      <c r="AF33" s="159">
        <v>2286702</v>
      </c>
      <c r="AG33" s="23">
        <v>1755860</v>
      </c>
      <c r="AI33" s="2">
        <v>3788404</v>
      </c>
      <c r="AJ33" s="23">
        <f t="shared" si="6"/>
        <v>-335217</v>
      </c>
    </row>
    <row r="34" spans="1:36" ht="15">
      <c r="A34" s="5">
        <v>26</v>
      </c>
      <c r="B34" s="6" t="s">
        <v>46</v>
      </c>
      <c r="C34" s="85">
        <v>4</v>
      </c>
      <c r="D34" s="70">
        <f>AB34</f>
        <v>1573838</v>
      </c>
      <c r="E34" s="8"/>
      <c r="F34" s="8">
        <f t="shared" si="7"/>
        <v>1573838</v>
      </c>
      <c r="G34" s="207">
        <f t="shared" si="1"/>
        <v>3639057</v>
      </c>
      <c r="H34" s="30">
        <v>3639057</v>
      </c>
      <c r="I34" s="84">
        <f t="shared" si="9"/>
        <v>2071285</v>
      </c>
      <c r="J34" s="30">
        <v>2071285</v>
      </c>
      <c r="K34" s="84">
        <f t="shared" si="8"/>
        <v>3812093</v>
      </c>
      <c r="L34" s="30">
        <v>3812093</v>
      </c>
      <c r="M34" s="8"/>
      <c r="N34" s="8">
        <f t="shared" si="2"/>
        <v>0</v>
      </c>
      <c r="O34" s="70">
        <v>0</v>
      </c>
      <c r="P34" s="70"/>
      <c r="Q34" s="70"/>
      <c r="R34" s="70"/>
      <c r="S34" s="70">
        <f t="shared" si="3"/>
        <v>0</v>
      </c>
      <c r="T34" s="70"/>
      <c r="U34" s="70"/>
      <c r="V34" s="8"/>
      <c r="W34" s="8"/>
      <c r="X34" s="8"/>
      <c r="Y34" s="35">
        <f t="shared" si="4"/>
        <v>9522435</v>
      </c>
      <c r="Z34" s="36">
        <f t="shared" si="0"/>
        <v>11096273</v>
      </c>
      <c r="AA34" s="142">
        <f t="shared" si="10"/>
        <v>14.183483048767817</v>
      </c>
      <c r="AB34" s="46">
        <f t="shared" si="5"/>
        <v>1573838</v>
      </c>
      <c r="AC34" s="38">
        <v>1530383</v>
      </c>
      <c r="AD34" s="38">
        <v>43455</v>
      </c>
      <c r="AF34" s="159">
        <v>1574045</v>
      </c>
      <c r="AG34" s="2">
        <v>1189158</v>
      </c>
      <c r="AI34" s="2">
        <v>1159847</v>
      </c>
      <c r="AJ34" s="23">
        <f t="shared" si="6"/>
        <v>1159847</v>
      </c>
    </row>
    <row r="35" spans="1:36" ht="15">
      <c r="A35" s="5"/>
      <c r="B35" s="7" t="s">
        <v>47</v>
      </c>
      <c r="C35" s="5">
        <v>4</v>
      </c>
      <c r="D35" s="70">
        <f aca="true" t="shared" si="11" ref="D35:Z35">SUM(D9:D34)</f>
        <v>97461133</v>
      </c>
      <c r="E35" s="8">
        <f t="shared" si="11"/>
        <v>0</v>
      </c>
      <c r="F35" s="8">
        <f t="shared" si="11"/>
        <v>97461133</v>
      </c>
      <c r="G35" s="84">
        <f t="shared" si="11"/>
        <v>171528694</v>
      </c>
      <c r="H35" s="8">
        <f>SUM(H9:H34)</f>
        <v>171528694</v>
      </c>
      <c r="I35" s="84">
        <f>SUM(I9:I34)</f>
        <v>133129688</v>
      </c>
      <c r="J35" s="94">
        <f t="shared" si="11"/>
        <v>133129688</v>
      </c>
      <c r="K35" s="8">
        <f t="shared" si="11"/>
        <v>57269395</v>
      </c>
      <c r="L35" s="8">
        <f t="shared" si="11"/>
        <v>37803082</v>
      </c>
      <c r="M35" s="8">
        <f>SUM(M9:M34)</f>
        <v>19466313</v>
      </c>
      <c r="N35" s="84">
        <f t="shared" si="11"/>
        <v>108776504</v>
      </c>
      <c r="O35" s="70">
        <f t="shared" si="11"/>
        <v>63179258</v>
      </c>
      <c r="P35" s="70">
        <f t="shared" si="11"/>
        <v>21869273</v>
      </c>
      <c r="Q35" s="70">
        <f t="shared" si="11"/>
        <v>12092678</v>
      </c>
      <c r="R35" s="70">
        <f>SUM(R9:R34)</f>
        <v>11635295</v>
      </c>
      <c r="S35" s="70">
        <f t="shared" si="11"/>
        <v>33995398</v>
      </c>
      <c r="T35" s="70">
        <f t="shared" si="11"/>
        <v>33995398</v>
      </c>
      <c r="U35" s="70">
        <f>SUM(U9:U34)</f>
        <v>0</v>
      </c>
      <c r="V35" s="8">
        <f t="shared" si="11"/>
        <v>38251158</v>
      </c>
      <c r="W35" s="8">
        <f t="shared" si="11"/>
        <v>2257054</v>
      </c>
      <c r="X35" s="8"/>
      <c r="Y35" s="8">
        <f t="shared" si="11"/>
        <v>545207891</v>
      </c>
      <c r="Z35" s="8">
        <f t="shared" si="11"/>
        <v>642669024</v>
      </c>
      <c r="AA35" s="142">
        <f t="shared" si="10"/>
        <v>15.16505842982717</v>
      </c>
      <c r="AB35" s="8">
        <f aca="true" t="shared" si="12" ref="AB35:AG35">SUM(AB9:AB34)</f>
        <v>97461133</v>
      </c>
      <c r="AC35" s="325">
        <f t="shared" si="12"/>
        <v>65084606</v>
      </c>
      <c r="AD35" s="8">
        <f t="shared" si="12"/>
        <v>32376527</v>
      </c>
      <c r="AE35" s="8">
        <f t="shared" si="12"/>
        <v>0</v>
      </c>
      <c r="AF35" s="8">
        <f t="shared" si="12"/>
        <v>97092777</v>
      </c>
      <c r="AG35" s="32">
        <f t="shared" si="12"/>
        <v>59376593</v>
      </c>
      <c r="AJ35" s="23"/>
    </row>
    <row r="36" spans="1:36" ht="14.25">
      <c r="A36" s="4">
        <v>27</v>
      </c>
      <c r="B36" s="3" t="s">
        <v>48</v>
      </c>
      <c r="C36" s="4"/>
      <c r="D36" s="70"/>
      <c r="E36" s="70">
        <v>2506210</v>
      </c>
      <c r="F36" s="8">
        <f t="shared" si="7"/>
        <v>2506210</v>
      </c>
      <c r="G36" s="10">
        <f t="shared" si="1"/>
        <v>9105754</v>
      </c>
      <c r="H36" s="30">
        <v>9105754</v>
      </c>
      <c r="I36" s="8">
        <f t="shared" si="9"/>
        <v>8460140</v>
      </c>
      <c r="J36" s="30">
        <v>8460140</v>
      </c>
      <c r="K36" s="8">
        <f t="shared" si="8"/>
        <v>2850948</v>
      </c>
      <c r="L36" s="30">
        <v>2850948</v>
      </c>
      <c r="M36" s="8"/>
      <c r="N36" s="8">
        <f>O36+P36+Q36</f>
        <v>4737090</v>
      </c>
      <c r="O36" s="30">
        <v>4737090</v>
      </c>
      <c r="P36" s="70"/>
      <c r="Q36" s="70"/>
      <c r="R36" s="70"/>
      <c r="S36" s="70">
        <f t="shared" si="3"/>
        <v>0</v>
      </c>
      <c r="T36" s="70"/>
      <c r="U36" s="70"/>
      <c r="V36" s="8"/>
      <c r="W36" s="8"/>
      <c r="X36" s="8"/>
      <c r="Y36" s="35">
        <f t="shared" si="4"/>
        <v>25153932</v>
      </c>
      <c r="Z36" s="36">
        <f>Y36+F36</f>
        <v>27660142</v>
      </c>
      <c r="AA36" s="142">
        <f t="shared" si="10"/>
        <v>0</v>
      </c>
      <c r="AE36" s="23">
        <f>E36</f>
        <v>2506210</v>
      </c>
      <c r="AF36" s="159">
        <f>AE36+Y36</f>
        <v>27660142</v>
      </c>
      <c r="AI36" s="2">
        <v>6475228</v>
      </c>
      <c r="AJ36" s="23">
        <f>AI36-S36</f>
        <v>6475228</v>
      </c>
    </row>
    <row r="37" spans="1:36" ht="14.25">
      <c r="A37" s="4">
        <v>28</v>
      </c>
      <c r="B37" s="3" t="s">
        <v>49</v>
      </c>
      <c r="C37" s="4"/>
      <c r="D37" s="70"/>
      <c r="E37" s="70">
        <v>2612969</v>
      </c>
      <c r="F37" s="8">
        <f t="shared" si="7"/>
        <v>2612969</v>
      </c>
      <c r="G37" s="10">
        <f t="shared" si="1"/>
        <v>3559119</v>
      </c>
      <c r="H37" s="30">
        <v>3559119</v>
      </c>
      <c r="I37" s="8">
        <f t="shared" si="9"/>
        <v>6110330</v>
      </c>
      <c r="J37" s="30">
        <v>6110330</v>
      </c>
      <c r="K37" s="8">
        <f t="shared" si="8"/>
        <v>1450948</v>
      </c>
      <c r="L37" s="30">
        <v>1450948</v>
      </c>
      <c r="M37" s="8"/>
      <c r="N37" s="8">
        <f>O37+P37+Q37</f>
        <v>2886271</v>
      </c>
      <c r="O37" s="30">
        <v>2886271</v>
      </c>
      <c r="P37" s="70"/>
      <c r="Q37" s="70"/>
      <c r="R37" s="70"/>
      <c r="S37" s="70">
        <f t="shared" si="3"/>
        <v>0</v>
      </c>
      <c r="T37" s="70"/>
      <c r="U37" s="70"/>
      <c r="V37" s="70">
        <v>1868314</v>
      </c>
      <c r="W37" s="70"/>
      <c r="X37" s="70">
        <v>3028539</v>
      </c>
      <c r="Y37" s="35">
        <f t="shared" si="4"/>
        <v>18903521</v>
      </c>
      <c r="Z37" s="36">
        <f>Y37+F37</f>
        <v>21516490</v>
      </c>
      <c r="AA37" s="142">
        <f t="shared" si="10"/>
        <v>0</v>
      </c>
      <c r="AC37" s="158"/>
      <c r="AD37" s="158"/>
      <c r="AE37" s="23">
        <f>E37</f>
        <v>2612969</v>
      </c>
      <c r="AF37" s="159">
        <f>AE37+Y37</f>
        <v>21516490</v>
      </c>
      <c r="AG37" s="23"/>
      <c r="AI37" s="23">
        <v>6369439</v>
      </c>
      <c r="AJ37" s="23">
        <f>AI37-S37</f>
        <v>6369439</v>
      </c>
    </row>
    <row r="38" spans="1:35" ht="14.25">
      <c r="A38" s="4"/>
      <c r="B38" s="3" t="s">
        <v>50</v>
      </c>
      <c r="C38" s="4">
        <v>4</v>
      </c>
      <c r="D38" s="70">
        <f aca="true" t="shared" si="13" ref="D38:W38">SUM(D35:D37)</f>
        <v>97461133</v>
      </c>
      <c r="E38" s="70">
        <f t="shared" si="13"/>
        <v>5119179</v>
      </c>
      <c r="F38" s="8">
        <f t="shared" si="13"/>
        <v>102580312</v>
      </c>
      <c r="G38" s="70">
        <f>SUM(G35:G37)</f>
        <v>184193567</v>
      </c>
      <c r="H38" s="70">
        <f>SUM(H35:H37)</f>
        <v>184193567</v>
      </c>
      <c r="I38" s="70">
        <f>SUM(I35:I37)</f>
        <v>147700158</v>
      </c>
      <c r="J38" s="70">
        <f t="shared" si="13"/>
        <v>147700158</v>
      </c>
      <c r="K38" s="8">
        <f t="shared" si="8"/>
        <v>61571291</v>
      </c>
      <c r="L38" s="70">
        <f t="shared" si="13"/>
        <v>42104978</v>
      </c>
      <c r="M38" s="70">
        <f>SUM(M35:M37)</f>
        <v>19466313</v>
      </c>
      <c r="N38" s="70">
        <f t="shared" si="13"/>
        <v>116399865</v>
      </c>
      <c r="O38" s="70">
        <f t="shared" si="13"/>
        <v>70802619</v>
      </c>
      <c r="P38" s="70">
        <f t="shared" si="13"/>
        <v>21869273</v>
      </c>
      <c r="Q38" s="70">
        <f t="shared" si="13"/>
        <v>12092678</v>
      </c>
      <c r="R38" s="70">
        <f>SUM(R35:R37)</f>
        <v>11635295</v>
      </c>
      <c r="S38" s="70">
        <f t="shared" si="13"/>
        <v>33995398</v>
      </c>
      <c r="T38" s="70">
        <f t="shared" si="13"/>
        <v>33995398</v>
      </c>
      <c r="U38" s="70">
        <f>SUM(U35:U37)</f>
        <v>0</v>
      </c>
      <c r="V38" s="70">
        <f t="shared" si="13"/>
        <v>40119472</v>
      </c>
      <c r="W38" s="70">
        <f t="shared" si="13"/>
        <v>2257054</v>
      </c>
      <c r="X38" s="70">
        <f>SUM(X35:X37)</f>
        <v>3028539</v>
      </c>
      <c r="Y38" s="8">
        <f>SUM(Y35:Y37)</f>
        <v>589265344</v>
      </c>
      <c r="Z38" s="8">
        <f>SUM(Z35:Z37)</f>
        <v>691845656</v>
      </c>
      <c r="AA38" s="142">
        <f>(D38)/Z38*100</f>
        <v>14.087120755152938</v>
      </c>
      <c r="AB38" s="23"/>
      <c r="AC38" s="23"/>
      <c r="AE38" s="8">
        <f>SUM(AE35:AE37)</f>
        <v>5119179</v>
      </c>
      <c r="AF38" s="8">
        <f>SUM(AF35:AF37)</f>
        <v>146269409</v>
      </c>
      <c r="AG38" s="23"/>
      <c r="AI38" s="2">
        <f>SUM(AI10:AI37)</f>
        <v>110806333</v>
      </c>
    </row>
    <row r="39" spans="1:35" ht="15">
      <c r="A39" s="107" t="s">
        <v>51</v>
      </c>
      <c r="B39" s="108"/>
      <c r="C39" s="108"/>
      <c r="D39" s="139">
        <f>D38/Z38*100</f>
        <v>14.087120755152938</v>
      </c>
      <c r="E39" s="139">
        <f>E38/Z38*100</f>
        <v>0.7399307859497495</v>
      </c>
      <c r="F39" s="145">
        <f>F38/Z38*100</f>
        <v>14.827051541102687</v>
      </c>
      <c r="G39" s="139">
        <f>G38/Z38*100</f>
        <v>26.62350560455062</v>
      </c>
      <c r="H39" s="139">
        <f>H38/Z38</f>
        <v>0.2662350560455062</v>
      </c>
      <c r="I39" s="139">
        <f>I38/Z38*100</f>
        <v>21.34871509549523</v>
      </c>
      <c r="J39" s="139">
        <f>J38/Z38*100</f>
        <v>21.34871509549523</v>
      </c>
      <c r="K39" s="139">
        <f>K38/Z38*100</f>
        <v>8.899570368914768</v>
      </c>
      <c r="L39" s="139">
        <f>L38/Z38*100</f>
        <v>6.08589179318342</v>
      </c>
      <c r="M39" s="139">
        <f>M38/Z38*100</f>
        <v>2.813678575731348</v>
      </c>
      <c r="N39" s="139">
        <f>N38/Z38*100</f>
        <v>16.82454229357769</v>
      </c>
      <c r="O39" s="139">
        <f>O38/Z38</f>
        <v>0.10233874909232646</v>
      </c>
      <c r="P39" s="139">
        <f>P38/Z38</f>
        <v>0.03161004598401352</v>
      </c>
      <c r="Q39" s="139">
        <f>Q38/Z38</f>
        <v>0.017478866702604547</v>
      </c>
      <c r="R39" s="139">
        <f>R38/Z38*100</f>
        <v>1.6817761156832356</v>
      </c>
      <c r="S39" s="139">
        <f>S38/Z38*100</f>
        <v>4.913725728444843</v>
      </c>
      <c r="T39" s="139"/>
      <c r="U39" s="139">
        <f>U38/Z38</f>
        <v>0</v>
      </c>
      <c r="V39" s="139">
        <f>V38/Z38*100</f>
        <v>5.798904951135517</v>
      </c>
      <c r="W39" s="139">
        <f>W38/Z38*100</f>
        <v>0.3262366368027033</v>
      </c>
      <c r="X39" s="139">
        <f>X38/Z38*100</f>
        <v>0.4377477799759431</v>
      </c>
      <c r="Y39" s="139">
        <f>Y38/Z38*100</f>
        <v>85.17294845889731</v>
      </c>
      <c r="Z39" s="139">
        <f>Z38/Z38*100</f>
        <v>100</v>
      </c>
      <c r="AA39" s="139"/>
      <c r="AB39" s="23"/>
      <c r="AC39" s="23"/>
      <c r="AF39" s="2">
        <v>257845498</v>
      </c>
      <c r="AI39" s="23"/>
    </row>
    <row r="40" spans="1:27" ht="27.75" customHeight="1" hidden="1">
      <c r="A40" s="112"/>
      <c r="B40" s="115" t="s">
        <v>108</v>
      </c>
      <c r="C40" s="116"/>
      <c r="D40" s="113">
        <f>D35/Z35</f>
        <v>0.1516505842982717</v>
      </c>
      <c r="E40" s="113">
        <f>E35/Z35</f>
        <v>0</v>
      </c>
      <c r="F40" s="113">
        <f>F35/Z35</f>
        <v>0.1516505842982717</v>
      </c>
      <c r="G40" s="113">
        <f>G35/Z35</f>
        <v>0.26690051580889634</v>
      </c>
      <c r="H40" s="113">
        <f>H35/Z35</f>
        <v>0.26690051580889634</v>
      </c>
      <c r="I40" s="113">
        <f>I35/Z35</f>
        <v>0.2071512443082989</v>
      </c>
      <c r="J40" s="113">
        <f>J35/Z35</f>
        <v>0.2071512443082989</v>
      </c>
      <c r="K40" s="113">
        <f>K35/Z35</f>
        <v>0.08911180228284972</v>
      </c>
      <c r="L40" s="113">
        <f>L35/Z35</f>
        <v>0.05882200726699409</v>
      </c>
      <c r="M40" s="113"/>
      <c r="N40" s="113">
        <f>N35/Z35</f>
        <v>0.16925742479849162</v>
      </c>
      <c r="O40" s="113">
        <f>O35/Z35</f>
        <v>0.09830761346916886</v>
      </c>
      <c r="P40" s="113">
        <f>P35/Z35</f>
        <v>0.03402882694405387</v>
      </c>
      <c r="Q40" s="113">
        <f>Q35/Z35</f>
        <v>0.01881633865708144</v>
      </c>
      <c r="R40" s="113">
        <f>R35/Z35</f>
        <v>0.018104645728187454</v>
      </c>
      <c r="S40" s="113"/>
      <c r="T40" s="113">
        <f>T35/Z35</f>
        <v>0.05289720949737263</v>
      </c>
      <c r="U40" s="113"/>
      <c r="V40" s="113"/>
      <c r="W40" s="113"/>
      <c r="X40" s="113" t="e">
        <f>X35/AE35</f>
        <v>#DIV/0!</v>
      </c>
      <c r="Y40" s="113">
        <f>Y35/Z35</f>
        <v>0.8483494157017283</v>
      </c>
      <c r="Z40" s="113">
        <f>Z35/Z35</f>
        <v>1</v>
      </c>
      <c r="AA40" s="143"/>
    </row>
    <row r="41" spans="1:32" ht="14.25">
      <c r="A41" s="101"/>
      <c r="B41" s="117"/>
      <c r="C41" s="117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40"/>
      <c r="AC41" s="23"/>
      <c r="AF41" s="23">
        <f>AF39-AF38</f>
        <v>111576089</v>
      </c>
    </row>
    <row r="42" spans="1:31" ht="14.25">
      <c r="A42" s="107" t="str">
        <f>'Anne-5'!A42</f>
        <v>Conn. As on 31.12.2012</v>
      </c>
      <c r="B42" s="108"/>
      <c r="C42" s="118">
        <v>4</v>
      </c>
      <c r="D42" s="8">
        <v>97092777</v>
      </c>
      <c r="E42" s="8">
        <v>5119179</v>
      </c>
      <c r="F42" s="8">
        <v>102211956</v>
      </c>
      <c r="G42" s="8">
        <v>181906892</v>
      </c>
      <c r="H42" s="8">
        <v>181906892</v>
      </c>
      <c r="I42" s="8">
        <v>147476290</v>
      </c>
      <c r="J42" s="8">
        <v>147476290</v>
      </c>
      <c r="K42" s="8">
        <v>63347284</v>
      </c>
      <c r="L42" s="8">
        <v>42691115</v>
      </c>
      <c r="M42" s="8">
        <v>20656169</v>
      </c>
      <c r="N42" s="8">
        <v>113946827</v>
      </c>
      <c r="O42" s="8">
        <v>69119918</v>
      </c>
      <c r="P42" s="8">
        <v>21501679</v>
      </c>
      <c r="Q42" s="8">
        <v>11940931</v>
      </c>
      <c r="R42" s="8">
        <v>11384299</v>
      </c>
      <c r="S42" s="8">
        <v>32943182</v>
      </c>
      <c r="T42" s="8">
        <v>32943182</v>
      </c>
      <c r="U42" s="8">
        <v>0</v>
      </c>
      <c r="V42" s="8">
        <v>41520544</v>
      </c>
      <c r="W42" s="8">
        <v>3640312</v>
      </c>
      <c r="X42" s="8">
        <v>3028539</v>
      </c>
      <c r="Y42" s="35">
        <v>587809870</v>
      </c>
      <c r="Z42" s="36">
        <v>690021826</v>
      </c>
      <c r="AA42" s="142">
        <f>(D42)/Z42*100</f>
        <v>14.070971865171117</v>
      </c>
      <c r="AC42" s="319"/>
      <c r="AE42" s="23"/>
    </row>
    <row r="43" spans="1:29" ht="14.25">
      <c r="A43" s="107" t="str">
        <f>'Anne-5'!A43</f>
        <v>Addition during Jan 2013</v>
      </c>
      <c r="B43" s="108"/>
      <c r="C43" s="118">
        <v>2</v>
      </c>
      <c r="D43" s="8">
        <f aca="true" t="shared" si="14" ref="D43:W43">D38-D42</f>
        <v>368356</v>
      </c>
      <c r="E43" s="8">
        <f t="shared" si="14"/>
        <v>0</v>
      </c>
      <c r="F43" s="8">
        <f t="shared" si="14"/>
        <v>368356</v>
      </c>
      <c r="G43" s="8">
        <f t="shared" si="14"/>
        <v>2286675</v>
      </c>
      <c r="H43" s="8">
        <f t="shared" si="14"/>
        <v>2286675</v>
      </c>
      <c r="I43" s="8">
        <f t="shared" si="14"/>
        <v>223868</v>
      </c>
      <c r="J43" s="8">
        <f t="shared" si="14"/>
        <v>223868</v>
      </c>
      <c r="K43" s="8">
        <f t="shared" si="14"/>
        <v>-1775993</v>
      </c>
      <c r="L43" s="8">
        <f t="shared" si="14"/>
        <v>-586137</v>
      </c>
      <c r="M43" s="8">
        <f t="shared" si="14"/>
        <v>-1189856</v>
      </c>
      <c r="N43" s="8">
        <f t="shared" si="14"/>
        <v>2453038</v>
      </c>
      <c r="O43" s="8">
        <f t="shared" si="14"/>
        <v>1682701</v>
      </c>
      <c r="P43" s="8">
        <f t="shared" si="14"/>
        <v>367594</v>
      </c>
      <c r="Q43" s="8">
        <f t="shared" si="14"/>
        <v>151747</v>
      </c>
      <c r="R43" s="8">
        <f>R38-R42</f>
        <v>250996</v>
      </c>
      <c r="S43" s="8">
        <f t="shared" si="14"/>
        <v>1052216</v>
      </c>
      <c r="T43" s="8">
        <f t="shared" si="14"/>
        <v>1052216</v>
      </c>
      <c r="U43" s="8">
        <f t="shared" si="14"/>
        <v>0</v>
      </c>
      <c r="V43" s="8">
        <f t="shared" si="14"/>
        <v>-1401072</v>
      </c>
      <c r="W43" s="8">
        <f t="shared" si="14"/>
        <v>-1383258</v>
      </c>
      <c r="X43" s="8">
        <f>X38-X42</f>
        <v>0</v>
      </c>
      <c r="Y43" s="8">
        <f>Y38-Y42</f>
        <v>1455474</v>
      </c>
      <c r="Z43" s="8">
        <f>Z38-Z42</f>
        <v>1823830</v>
      </c>
      <c r="AA43" s="429" t="s">
        <v>130</v>
      </c>
      <c r="AB43" s="23"/>
      <c r="AC43" s="23"/>
    </row>
    <row r="44" spans="1:30" ht="14.25">
      <c r="A44" s="107" t="str">
        <f>'Anne-5'!A44</f>
        <v>Conn. As on 31.03.2012</v>
      </c>
      <c r="B44" s="110"/>
      <c r="C44" s="4">
        <v>4</v>
      </c>
      <c r="D44" s="8">
        <v>94509074</v>
      </c>
      <c r="E44" s="8">
        <v>5593378</v>
      </c>
      <c r="F44" s="8">
        <v>100102452</v>
      </c>
      <c r="G44" s="8">
        <v>181279296</v>
      </c>
      <c r="H44" s="8">
        <v>181279296</v>
      </c>
      <c r="I44" s="8">
        <v>150465330</v>
      </c>
      <c r="J44" s="8">
        <v>150465330</v>
      </c>
      <c r="K44" s="8">
        <v>62572579</v>
      </c>
      <c r="L44" s="8">
        <v>40986365</v>
      </c>
      <c r="M44" s="8">
        <v>21586214</v>
      </c>
      <c r="N44" s="8">
        <v>112722692</v>
      </c>
      <c r="O44" s="8">
        <v>67819039</v>
      </c>
      <c r="P44" s="8">
        <v>21523697</v>
      </c>
      <c r="Q44" s="8">
        <v>12267856</v>
      </c>
      <c r="R44" s="8">
        <v>11112100</v>
      </c>
      <c r="S44" s="8">
        <v>31840536</v>
      </c>
      <c r="T44" s="8">
        <v>31840536</v>
      </c>
      <c r="U44" s="8">
        <v>0</v>
      </c>
      <c r="V44" s="8">
        <v>42431924</v>
      </c>
      <c r="W44" s="8">
        <v>5951588</v>
      </c>
      <c r="X44" s="8">
        <v>3267241</v>
      </c>
      <c r="Y44" s="8">
        <v>595654147</v>
      </c>
      <c r="Z44" s="8">
        <v>695756599</v>
      </c>
      <c r="AA44" s="144">
        <f>(D44)/Z44*100</f>
        <v>13.583640332817023</v>
      </c>
      <c r="AD44" s="23"/>
    </row>
    <row r="45" spans="1:30" ht="14.25">
      <c r="A45" s="107" t="str">
        <f>'Anne-5'!A45</f>
        <v>Addition during 2012-13</v>
      </c>
      <c r="B45" s="108"/>
      <c r="C45" s="4">
        <v>1</v>
      </c>
      <c r="D45" s="8">
        <f>D38-D44</f>
        <v>2952059</v>
      </c>
      <c r="E45" s="8">
        <f aca="true" t="shared" si="15" ref="E45:Z45">E38-E44</f>
        <v>-474199</v>
      </c>
      <c r="F45" s="8">
        <f t="shared" si="15"/>
        <v>2477860</v>
      </c>
      <c r="G45" s="8">
        <f t="shared" si="15"/>
        <v>2914271</v>
      </c>
      <c r="H45" s="8">
        <f t="shared" si="15"/>
        <v>2914271</v>
      </c>
      <c r="I45" s="8">
        <f t="shared" si="15"/>
        <v>-2765172</v>
      </c>
      <c r="J45" s="8">
        <f t="shared" si="15"/>
        <v>-2765172</v>
      </c>
      <c r="K45" s="8">
        <f t="shared" si="15"/>
        <v>-1001288</v>
      </c>
      <c r="L45" s="8">
        <f t="shared" si="15"/>
        <v>1118613</v>
      </c>
      <c r="M45" s="8">
        <f t="shared" si="15"/>
        <v>-2119901</v>
      </c>
      <c r="N45" s="8">
        <f t="shared" si="15"/>
        <v>3677173</v>
      </c>
      <c r="O45" s="8">
        <f t="shared" si="15"/>
        <v>2983580</v>
      </c>
      <c r="P45" s="8">
        <f t="shared" si="15"/>
        <v>345576</v>
      </c>
      <c r="Q45" s="8">
        <f t="shared" si="15"/>
        <v>-175178</v>
      </c>
      <c r="R45" s="8">
        <f>R38-R44</f>
        <v>523195</v>
      </c>
      <c r="S45" s="8">
        <f t="shared" si="15"/>
        <v>2154862</v>
      </c>
      <c r="T45" s="8">
        <f t="shared" si="15"/>
        <v>2154862</v>
      </c>
      <c r="U45" s="8">
        <f t="shared" si="15"/>
        <v>0</v>
      </c>
      <c r="V45" s="8">
        <f t="shared" si="15"/>
        <v>-2312452</v>
      </c>
      <c r="W45" s="8">
        <f t="shared" si="15"/>
        <v>-3694534</v>
      </c>
      <c r="X45" s="8">
        <f>X38-X44</f>
        <v>-238702</v>
      </c>
      <c r="Y45" s="8">
        <f t="shared" si="15"/>
        <v>-6388803</v>
      </c>
      <c r="Z45" s="8">
        <f t="shared" si="15"/>
        <v>-3910943</v>
      </c>
      <c r="AA45" s="429" t="s">
        <v>130</v>
      </c>
      <c r="AB45" s="23"/>
      <c r="AC45" s="23"/>
      <c r="AD45" s="23"/>
    </row>
    <row r="46" spans="1:30" ht="15">
      <c r="A46" s="2" t="s">
        <v>195</v>
      </c>
      <c r="B46" s="26"/>
      <c r="C46" s="26"/>
      <c r="T46" s="23"/>
      <c r="U46" s="23"/>
      <c r="Z46" s="23"/>
      <c r="AA46" s="23"/>
      <c r="AC46" s="23"/>
      <c r="AD46" s="23"/>
    </row>
    <row r="47" spans="2:30" ht="15">
      <c r="B47" s="26"/>
      <c r="C47" s="26"/>
      <c r="N47" s="23"/>
      <c r="T47" s="23"/>
      <c r="U47" s="23"/>
      <c r="Z47" s="23"/>
      <c r="AA47" s="23"/>
      <c r="AD47" s="23"/>
    </row>
    <row r="48" spans="2:26" ht="15">
      <c r="B48" s="26"/>
      <c r="C48" s="26"/>
      <c r="D48" s="23"/>
      <c r="N48" s="23"/>
      <c r="S48" s="136"/>
      <c r="Z48" s="23"/>
    </row>
    <row r="49" spans="2:29" ht="15">
      <c r="B49" s="26"/>
      <c r="C49" s="26"/>
      <c r="D49" s="23"/>
      <c r="S49" s="23"/>
      <c r="T49" s="23"/>
      <c r="Y49" s="23"/>
      <c r="Z49" s="2">
        <v>97172146</v>
      </c>
      <c r="AC49" s="23"/>
    </row>
    <row r="50" spans="2:26" ht="15">
      <c r="B50" s="26"/>
      <c r="C50" s="26"/>
      <c r="Z50" s="23">
        <f>Z38-S38-D42+Z49</f>
        <v>657929627</v>
      </c>
    </row>
    <row r="51" spans="20:29" ht="14.25">
      <c r="T51" s="23"/>
      <c r="Z51" s="23"/>
      <c r="AC51" s="2">
        <v>606419943</v>
      </c>
    </row>
    <row r="52" spans="25:29" ht="14.25">
      <c r="Y52" s="23"/>
      <c r="AC52" s="23">
        <v>28798181</v>
      </c>
    </row>
    <row r="53" spans="29:30" ht="14.25">
      <c r="AC53" s="23">
        <f>SUM(AC51:AC52)</f>
        <v>635218124</v>
      </c>
      <c r="AD53" s="2">
        <v>90234162</v>
      </c>
    </row>
    <row r="54" ht="14.25">
      <c r="AC54" s="23">
        <f>AC53-AD53+D38</f>
        <v>642445095</v>
      </c>
    </row>
  </sheetData>
  <sheetProtection/>
  <mergeCells count="22">
    <mergeCell ref="X7:X8"/>
    <mergeCell ref="W7:W8"/>
    <mergeCell ref="AB6:AD7"/>
    <mergeCell ref="Z6:Z8"/>
    <mergeCell ref="Y6:Y8"/>
    <mergeCell ref="AA6:AA8"/>
    <mergeCell ref="A6:A8"/>
    <mergeCell ref="B6:B8"/>
    <mergeCell ref="M7:M8"/>
    <mergeCell ref="E7:E8"/>
    <mergeCell ref="K7:K8"/>
    <mergeCell ref="F7:F8"/>
    <mergeCell ref="I7:I8"/>
    <mergeCell ref="G7:G8"/>
    <mergeCell ref="C7:C8"/>
    <mergeCell ref="D7:D8"/>
    <mergeCell ref="N7:N8"/>
    <mergeCell ref="U7:U8"/>
    <mergeCell ref="V7:V8"/>
    <mergeCell ref="O7:R7"/>
    <mergeCell ref="S7:S8"/>
    <mergeCell ref="T7:T8"/>
  </mergeCells>
  <conditionalFormatting sqref="AA10:AA38 AA42">
    <cfRule type="top10" priority="1" dxfId="1" stopIfTrue="1" rank="5" bottom="1"/>
    <cfRule type="top10" priority="2" dxfId="0" stopIfTrue="1" rank="5" percent="1"/>
    <cfRule type="top10" priority="3" dxfId="1" stopIfTrue="1" rank="5" bottom="1"/>
    <cfRule type="top10" priority="4" dxfId="0" stopIfTrue="1" rank="5"/>
  </conditionalFormatting>
  <conditionalFormatting sqref="AA10:AA12 AA14:AA17 AA19:AA23 AA25:AA28 AA30:AA34">
    <cfRule type="top10" priority="5" dxfId="1" stopIfTrue="1" rank="5"/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scale="73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50"/>
  <sheetViews>
    <sheetView zoomScaleSheetLayoutView="100" zoomScalePageLayoutView="0" workbookViewId="0" topLeftCell="A1">
      <pane xSplit="2" ySplit="8" topLeftCell="C3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5" sqref="C45"/>
    </sheetView>
  </sheetViews>
  <sheetFormatPr defaultColWidth="9.140625" defaultRowHeight="12.75"/>
  <cols>
    <col min="1" max="1" width="6.140625" style="332" customWidth="1"/>
    <col min="2" max="2" width="24.140625" style="332" customWidth="1"/>
    <col min="3" max="3" width="6.7109375" style="332" customWidth="1"/>
    <col min="4" max="4" width="12.140625" style="332" customWidth="1"/>
    <col min="5" max="5" width="10.140625" style="332" customWidth="1"/>
    <col min="6" max="6" width="12.00390625" style="332" customWidth="1"/>
    <col min="7" max="7" width="10.140625" style="332" customWidth="1"/>
    <col min="8" max="8" width="12.140625" style="332" customWidth="1"/>
    <col min="9" max="9" width="14.28125" style="337" customWidth="1"/>
    <col min="10" max="10" width="14.140625" style="332" customWidth="1"/>
    <col min="11" max="11" width="11.28125" style="332" customWidth="1"/>
    <col min="12" max="12" width="13.00390625" style="332" customWidth="1"/>
    <col min="13" max="14" width="14.28125" style="332" customWidth="1"/>
    <col min="15" max="15" width="11.8515625" style="332" customWidth="1"/>
    <col min="16" max="22" width="11.7109375" style="332" customWidth="1"/>
    <col min="23" max="23" width="10.140625" style="332" bestFit="1" customWidth="1"/>
    <col min="24" max="24" width="9.140625" style="332" customWidth="1"/>
    <col min="25" max="25" width="9.28125" style="332" customWidth="1"/>
    <col min="26" max="26" width="11.7109375" style="332" bestFit="1" customWidth="1"/>
    <col min="27" max="27" width="10.7109375" style="332" bestFit="1" customWidth="1"/>
    <col min="28" max="28" width="11.421875" style="332" customWidth="1"/>
    <col min="29" max="16384" width="9.140625" style="332" customWidth="1"/>
  </cols>
  <sheetData>
    <row r="1" ht="15.75">
      <c r="N1" s="29" t="s">
        <v>133</v>
      </c>
    </row>
    <row r="2" spans="2:9" ht="15">
      <c r="B2" s="26" t="str">
        <f>'Anne-6'!B2</f>
        <v>No. 1-2(1)/Market Share/2012-CP&amp;M </v>
      </c>
      <c r="C2" s="26"/>
      <c r="D2" s="26"/>
      <c r="E2" s="26"/>
      <c r="F2" s="26"/>
      <c r="G2" s="26"/>
      <c r="H2" s="26"/>
      <c r="I2" s="26" t="str">
        <f>'Anne-6'!G2</f>
        <v>Dated: 28th February 2013.</v>
      </c>
    </row>
    <row r="4" spans="2:3" ht="15.75">
      <c r="B4" s="29" t="s">
        <v>244</v>
      </c>
      <c r="C4" s="29"/>
    </row>
    <row r="5" spans="4:12" ht="15">
      <c r="D5" s="332">
        <v>1</v>
      </c>
      <c r="G5" s="332">
        <v>2</v>
      </c>
      <c r="I5" s="337">
        <v>3</v>
      </c>
      <c r="J5" s="332">
        <v>4</v>
      </c>
      <c r="K5" s="332">
        <v>5</v>
      </c>
      <c r="L5" s="332">
        <v>6</v>
      </c>
    </row>
    <row r="6" spans="1:22" ht="15" customHeight="1">
      <c r="A6" s="487" t="s">
        <v>19</v>
      </c>
      <c r="B6" s="487" t="s">
        <v>20</v>
      </c>
      <c r="C6" s="557" t="s">
        <v>118</v>
      </c>
      <c r="D6" s="561" t="s">
        <v>105</v>
      </c>
      <c r="E6" s="561"/>
      <c r="F6" s="561"/>
      <c r="G6" s="561"/>
      <c r="H6" s="561"/>
      <c r="I6" s="560" t="s">
        <v>187</v>
      </c>
      <c r="J6" s="560"/>
      <c r="K6" s="560"/>
      <c r="L6" s="560"/>
      <c r="M6" s="560"/>
      <c r="N6" s="565" t="s">
        <v>80</v>
      </c>
      <c r="O6" s="557" t="s">
        <v>120</v>
      </c>
      <c r="P6" s="475" t="s">
        <v>97</v>
      </c>
      <c r="Q6" s="487"/>
      <c r="R6" s="487"/>
      <c r="S6" s="487"/>
      <c r="T6" s="487"/>
      <c r="U6" s="487"/>
      <c r="V6" s="338"/>
    </row>
    <row r="7" spans="1:22" ht="18.75" customHeight="1">
      <c r="A7" s="487"/>
      <c r="B7" s="487"/>
      <c r="C7" s="558"/>
      <c r="D7" s="562" t="s">
        <v>1</v>
      </c>
      <c r="E7" s="562"/>
      <c r="F7" s="562"/>
      <c r="G7" s="563" t="s">
        <v>2</v>
      </c>
      <c r="H7" s="560" t="s">
        <v>89</v>
      </c>
      <c r="I7" s="564" t="s">
        <v>58</v>
      </c>
      <c r="J7" s="562" t="s">
        <v>59</v>
      </c>
      <c r="K7" s="568" t="s">
        <v>189</v>
      </c>
      <c r="L7" s="562" t="s">
        <v>190</v>
      </c>
      <c r="M7" s="566" t="s">
        <v>61</v>
      </c>
      <c r="N7" s="565"/>
      <c r="O7" s="558"/>
      <c r="P7" s="475" t="s">
        <v>98</v>
      </c>
      <c r="Q7" s="487"/>
      <c r="R7" s="487"/>
      <c r="S7" s="487" t="s">
        <v>6</v>
      </c>
      <c r="T7" s="487"/>
      <c r="U7" s="487"/>
      <c r="V7" s="338"/>
    </row>
    <row r="8" spans="1:22" ht="33.75" customHeight="1">
      <c r="A8" s="487"/>
      <c r="B8" s="487"/>
      <c r="C8" s="559"/>
      <c r="D8" s="363" t="s">
        <v>98</v>
      </c>
      <c r="E8" s="363" t="s">
        <v>6</v>
      </c>
      <c r="F8" s="363" t="s">
        <v>47</v>
      </c>
      <c r="G8" s="563"/>
      <c r="H8" s="560"/>
      <c r="I8" s="564"/>
      <c r="J8" s="562"/>
      <c r="K8" s="569"/>
      <c r="L8" s="562"/>
      <c r="M8" s="567"/>
      <c r="N8" s="565"/>
      <c r="O8" s="559"/>
      <c r="P8" s="53" t="s">
        <v>47</v>
      </c>
      <c r="Q8" s="410" t="s">
        <v>87</v>
      </c>
      <c r="R8" s="410" t="s">
        <v>88</v>
      </c>
      <c r="S8" s="411" t="s">
        <v>47</v>
      </c>
      <c r="T8" s="410" t="s">
        <v>87</v>
      </c>
      <c r="U8" s="410" t="s">
        <v>88</v>
      </c>
      <c r="V8" s="137"/>
    </row>
    <row r="9" spans="1:27" ht="17.25" customHeight="1">
      <c r="A9" s="339">
        <v>1</v>
      </c>
      <c r="B9" s="340" t="s">
        <v>21</v>
      </c>
      <c r="C9" s="340"/>
      <c r="D9" s="22"/>
      <c r="E9" s="22"/>
      <c r="F9" s="22"/>
      <c r="G9" s="21"/>
      <c r="H9" s="21"/>
      <c r="I9" s="33"/>
      <c r="J9" s="33"/>
      <c r="K9" s="33"/>
      <c r="L9" s="33"/>
      <c r="M9" s="21"/>
      <c r="N9" s="21"/>
      <c r="O9" s="103"/>
      <c r="P9" s="341">
        <f>Q9+R9</f>
        <v>5274</v>
      </c>
      <c r="Q9" s="446">
        <v>2366</v>
      </c>
      <c r="R9" s="342">
        <v>2908</v>
      </c>
      <c r="S9" s="342">
        <f>T9+U9</f>
        <v>5931</v>
      </c>
      <c r="T9" s="342">
        <v>4560</v>
      </c>
      <c r="U9" s="342">
        <v>1371</v>
      </c>
      <c r="V9" s="343"/>
      <c r="W9" s="316">
        <v>11678</v>
      </c>
      <c r="X9" s="316"/>
      <c r="Z9" s="344">
        <f>Q9+T9</f>
        <v>6926</v>
      </c>
      <c r="AA9" s="344">
        <f>R9+U9</f>
        <v>4279</v>
      </c>
    </row>
    <row r="10" spans="1:28" ht="15">
      <c r="A10" s="339">
        <v>2</v>
      </c>
      <c r="B10" s="340" t="s">
        <v>22</v>
      </c>
      <c r="C10" s="345">
        <v>4</v>
      </c>
      <c r="D10" s="364">
        <f>P10</f>
        <v>105191</v>
      </c>
      <c r="E10" s="364">
        <f>S10</f>
        <v>5391</v>
      </c>
      <c r="F10" s="364">
        <f>D10+E10</f>
        <v>110582</v>
      </c>
      <c r="G10" s="365"/>
      <c r="H10" s="365">
        <f>F10+G10</f>
        <v>110582</v>
      </c>
      <c r="I10" s="366">
        <v>6778745</v>
      </c>
      <c r="J10" s="366">
        <v>6659964</v>
      </c>
      <c r="K10" s="366"/>
      <c r="L10" s="366">
        <v>637894</v>
      </c>
      <c r="M10" s="365">
        <f>I10+K10+J10+L10</f>
        <v>14076603</v>
      </c>
      <c r="N10" s="365">
        <f>M10+H10</f>
        <v>14187185</v>
      </c>
      <c r="O10" s="141">
        <f>F10/N10*100</f>
        <v>0.779449904967053</v>
      </c>
      <c r="P10" s="346">
        <f aca="true" t="shared" si="0" ref="P10:P34">Q10+R10</f>
        <v>105191</v>
      </c>
      <c r="Q10" s="446">
        <v>13735</v>
      </c>
      <c r="R10" s="342">
        <v>91456</v>
      </c>
      <c r="S10" s="184">
        <f aca="true" t="shared" si="1" ref="S10:S23">T10+U10</f>
        <v>5391</v>
      </c>
      <c r="T10" s="342">
        <v>3589</v>
      </c>
      <c r="U10" s="342">
        <v>1802</v>
      </c>
      <c r="V10" s="343"/>
      <c r="W10" s="316">
        <v>108004</v>
      </c>
      <c r="Z10" s="344">
        <f aca="true" t="shared" si="2" ref="Z10:Z34">Q10+T10</f>
        <v>17324</v>
      </c>
      <c r="AA10" s="344">
        <f aca="true" t="shared" si="3" ref="AA10:AA34">R10+U10</f>
        <v>93258</v>
      </c>
      <c r="AB10" s="344"/>
    </row>
    <row r="11" spans="1:28" ht="15">
      <c r="A11" s="339">
        <v>3</v>
      </c>
      <c r="B11" s="340" t="s">
        <v>23</v>
      </c>
      <c r="C11" s="345">
        <v>1</v>
      </c>
      <c r="D11" s="364">
        <f>P11</f>
        <v>80428</v>
      </c>
      <c r="E11" s="364">
        <f>S11</f>
        <v>9604</v>
      </c>
      <c r="F11" s="364">
        <f aca="true" t="shared" si="4" ref="F11:F34">D11+E11</f>
        <v>90032</v>
      </c>
      <c r="G11" s="365"/>
      <c r="H11" s="365">
        <f aca="true" t="shared" si="5" ref="H11:H37">F11+G11</f>
        <v>90032</v>
      </c>
      <c r="I11" s="366">
        <v>0</v>
      </c>
      <c r="J11" s="366">
        <v>0</v>
      </c>
      <c r="K11" s="366"/>
      <c r="L11" s="366">
        <v>1280</v>
      </c>
      <c r="M11" s="365">
        <f aca="true" t="shared" si="6" ref="M11:M33">I11+K11+J11+L11</f>
        <v>1280</v>
      </c>
      <c r="N11" s="365">
        <f aca="true" t="shared" si="7" ref="N11:N37">M11+H11</f>
        <v>91312</v>
      </c>
      <c r="O11" s="141">
        <f aca="true" t="shared" si="8" ref="O11:O35">F11/N11*100</f>
        <v>98.59821272121955</v>
      </c>
      <c r="P11" s="346">
        <f t="shared" si="0"/>
        <v>80428</v>
      </c>
      <c r="Q11" s="446">
        <v>1968</v>
      </c>
      <c r="R11" s="342">
        <v>78460</v>
      </c>
      <c r="S11" s="184">
        <f t="shared" si="1"/>
        <v>9604</v>
      </c>
      <c r="T11" s="342">
        <v>1067</v>
      </c>
      <c r="U11" s="342">
        <v>8537</v>
      </c>
      <c r="V11" s="343"/>
      <c r="W11" s="316">
        <v>91626</v>
      </c>
      <c r="X11" s="344"/>
      <c r="Z11" s="344">
        <f t="shared" si="2"/>
        <v>3035</v>
      </c>
      <c r="AA11" s="344">
        <f t="shared" si="3"/>
        <v>86997</v>
      </c>
      <c r="AB11" s="344"/>
    </row>
    <row r="12" spans="1:28" ht="15">
      <c r="A12" s="339">
        <v>4</v>
      </c>
      <c r="B12" s="340" t="s">
        <v>24</v>
      </c>
      <c r="C12" s="345">
        <v>4</v>
      </c>
      <c r="D12" s="364">
        <f>P12+P18</f>
        <v>223752</v>
      </c>
      <c r="E12" s="364">
        <f>S12+S18</f>
        <v>4029</v>
      </c>
      <c r="F12" s="364">
        <f t="shared" si="4"/>
        <v>227781</v>
      </c>
      <c r="G12" s="365"/>
      <c r="H12" s="365">
        <f t="shared" si="5"/>
        <v>227781</v>
      </c>
      <c r="I12" s="366">
        <v>3314060</v>
      </c>
      <c r="J12" s="366">
        <v>3745212</v>
      </c>
      <c r="K12" s="366"/>
      <c r="L12" s="366">
        <v>1314278</v>
      </c>
      <c r="M12" s="365">
        <f t="shared" si="6"/>
        <v>8373550</v>
      </c>
      <c r="N12" s="365">
        <f t="shared" si="7"/>
        <v>8601331</v>
      </c>
      <c r="O12" s="141">
        <f t="shared" si="8"/>
        <v>2.6482064229361715</v>
      </c>
      <c r="P12" s="346">
        <f t="shared" si="0"/>
        <v>123727</v>
      </c>
      <c r="Q12" s="446">
        <v>6133</v>
      </c>
      <c r="R12" s="342">
        <v>117594</v>
      </c>
      <c r="S12" s="184">
        <f t="shared" si="1"/>
        <v>2467</v>
      </c>
      <c r="T12" s="342">
        <v>1931</v>
      </c>
      <c r="U12" s="342">
        <v>536</v>
      </c>
      <c r="V12" s="343"/>
      <c r="W12" s="316">
        <v>129102</v>
      </c>
      <c r="X12" s="344"/>
      <c r="Z12" s="344">
        <f t="shared" si="2"/>
        <v>8064</v>
      </c>
      <c r="AA12" s="344">
        <f t="shared" si="3"/>
        <v>118130</v>
      </c>
      <c r="AB12" s="344"/>
    </row>
    <row r="13" spans="1:28" ht="15">
      <c r="A13" s="339">
        <v>5</v>
      </c>
      <c r="B13" s="340" t="s">
        <v>25</v>
      </c>
      <c r="C13" s="345"/>
      <c r="D13" s="364"/>
      <c r="E13" s="364"/>
      <c r="F13" s="364"/>
      <c r="G13" s="365"/>
      <c r="H13" s="365"/>
      <c r="I13" s="366">
        <v>0</v>
      </c>
      <c r="J13" s="366"/>
      <c r="K13" s="366"/>
      <c r="L13" s="366"/>
      <c r="M13" s="365"/>
      <c r="N13" s="365"/>
      <c r="O13" s="141"/>
      <c r="P13" s="346">
        <f t="shared" si="0"/>
        <v>113490</v>
      </c>
      <c r="Q13" s="446">
        <v>27211</v>
      </c>
      <c r="R13" s="342">
        <v>86279</v>
      </c>
      <c r="S13" s="184">
        <f t="shared" si="1"/>
        <v>6517</v>
      </c>
      <c r="T13" s="342">
        <v>1473</v>
      </c>
      <c r="U13" s="342">
        <v>5044</v>
      </c>
      <c r="V13" s="343"/>
      <c r="W13" s="316">
        <v>119828</v>
      </c>
      <c r="X13" s="344"/>
      <c r="Z13" s="344">
        <f t="shared" si="2"/>
        <v>28684</v>
      </c>
      <c r="AA13" s="344">
        <f t="shared" si="3"/>
        <v>91323</v>
      </c>
      <c r="AB13" s="344"/>
    </row>
    <row r="14" spans="1:28" ht="15">
      <c r="A14" s="339">
        <v>6</v>
      </c>
      <c r="B14" s="340" t="s">
        <v>26</v>
      </c>
      <c r="C14" s="345">
        <v>4</v>
      </c>
      <c r="D14" s="364">
        <f>P14</f>
        <v>106103</v>
      </c>
      <c r="E14" s="364">
        <f>S14</f>
        <v>23747</v>
      </c>
      <c r="F14" s="364">
        <f t="shared" si="4"/>
        <v>129850</v>
      </c>
      <c r="G14" s="365"/>
      <c r="H14" s="365">
        <f t="shared" si="5"/>
        <v>129850</v>
      </c>
      <c r="I14" s="366">
        <v>6723250</v>
      </c>
      <c r="J14" s="366">
        <v>2956176</v>
      </c>
      <c r="K14" s="366"/>
      <c r="L14" s="366">
        <v>224103</v>
      </c>
      <c r="M14" s="365">
        <f t="shared" si="6"/>
        <v>9903529</v>
      </c>
      <c r="N14" s="365">
        <f t="shared" si="7"/>
        <v>10033379</v>
      </c>
      <c r="O14" s="141">
        <f t="shared" si="8"/>
        <v>1.2941801560570971</v>
      </c>
      <c r="P14" s="346">
        <f t="shared" si="0"/>
        <v>106103</v>
      </c>
      <c r="Q14" s="446">
        <v>23587</v>
      </c>
      <c r="R14" s="342">
        <v>82516</v>
      </c>
      <c r="S14" s="184">
        <f>T14+U14</f>
        <v>23747</v>
      </c>
      <c r="T14" s="342">
        <v>21078</v>
      </c>
      <c r="U14" s="342">
        <v>2669</v>
      </c>
      <c r="V14" s="343"/>
      <c r="W14" s="316">
        <v>131392</v>
      </c>
      <c r="X14" s="344"/>
      <c r="Z14" s="344">
        <f t="shared" si="2"/>
        <v>44665</v>
      </c>
      <c r="AA14" s="344">
        <f t="shared" si="3"/>
        <v>85185</v>
      </c>
      <c r="AB14" s="344"/>
    </row>
    <row r="15" spans="1:28" ht="15">
      <c r="A15" s="339">
        <v>7</v>
      </c>
      <c r="B15" s="340" t="s">
        <v>27</v>
      </c>
      <c r="C15" s="345">
        <v>4</v>
      </c>
      <c r="D15" s="364">
        <f>P15</f>
        <v>19521</v>
      </c>
      <c r="E15" s="364">
        <f>S15</f>
        <v>1689</v>
      </c>
      <c r="F15" s="364">
        <f t="shared" si="4"/>
        <v>21210</v>
      </c>
      <c r="G15" s="365"/>
      <c r="H15" s="365">
        <f t="shared" si="5"/>
        <v>21210</v>
      </c>
      <c r="I15" s="366">
        <v>2127552</v>
      </c>
      <c r="J15" s="366">
        <v>2667699</v>
      </c>
      <c r="K15" s="366"/>
      <c r="L15" s="366">
        <v>147716</v>
      </c>
      <c r="M15" s="365">
        <f t="shared" si="6"/>
        <v>4942967</v>
      </c>
      <c r="N15" s="365">
        <f t="shared" si="7"/>
        <v>4964177</v>
      </c>
      <c r="O15" s="141">
        <f t="shared" si="8"/>
        <v>0.42726115527306946</v>
      </c>
      <c r="P15" s="346">
        <f t="shared" si="0"/>
        <v>19521</v>
      </c>
      <c r="Q15" s="446">
        <v>2490</v>
      </c>
      <c r="R15" s="342">
        <v>17031</v>
      </c>
      <c r="S15" s="184">
        <f t="shared" si="1"/>
        <v>1689</v>
      </c>
      <c r="T15" s="347">
        <v>1588</v>
      </c>
      <c r="U15" s="342">
        <v>101</v>
      </c>
      <c r="V15" s="343"/>
      <c r="W15" s="316">
        <v>20809</v>
      </c>
      <c r="X15" s="344"/>
      <c r="Z15" s="344">
        <f t="shared" si="2"/>
        <v>4078</v>
      </c>
      <c r="AA15" s="344">
        <f t="shared" si="3"/>
        <v>17132</v>
      </c>
      <c r="AB15" s="344"/>
    </row>
    <row r="16" spans="1:28" ht="18" customHeight="1">
      <c r="A16" s="339">
        <v>8</v>
      </c>
      <c r="B16" s="340" t="s">
        <v>28</v>
      </c>
      <c r="C16" s="345">
        <v>2</v>
      </c>
      <c r="D16" s="364">
        <f>P16</f>
        <v>58351</v>
      </c>
      <c r="E16" s="364">
        <f>S16</f>
        <v>655</v>
      </c>
      <c r="F16" s="364">
        <f t="shared" si="4"/>
        <v>59006</v>
      </c>
      <c r="G16" s="365"/>
      <c r="H16" s="365">
        <f t="shared" si="5"/>
        <v>59006</v>
      </c>
      <c r="I16" s="366">
        <v>0</v>
      </c>
      <c r="J16" s="366">
        <v>190353</v>
      </c>
      <c r="K16" s="366"/>
      <c r="L16" s="366">
        <v>71</v>
      </c>
      <c r="M16" s="365">
        <f t="shared" si="6"/>
        <v>190424</v>
      </c>
      <c r="N16" s="365">
        <f t="shared" si="7"/>
        <v>249430</v>
      </c>
      <c r="O16" s="141">
        <f t="shared" si="8"/>
        <v>23.656336447099385</v>
      </c>
      <c r="P16" s="346">
        <f t="shared" si="0"/>
        <v>58351</v>
      </c>
      <c r="Q16" s="446">
        <v>3691</v>
      </c>
      <c r="R16" s="342">
        <v>54660</v>
      </c>
      <c r="S16" s="184">
        <f t="shared" si="1"/>
        <v>655</v>
      </c>
      <c r="T16" s="342">
        <v>100</v>
      </c>
      <c r="U16" s="342">
        <v>555</v>
      </c>
      <c r="V16" s="343"/>
      <c r="W16" s="316">
        <v>59766</v>
      </c>
      <c r="X16" s="344"/>
      <c r="Z16" s="344">
        <f t="shared" si="2"/>
        <v>3791</v>
      </c>
      <c r="AA16" s="344">
        <f t="shared" si="3"/>
        <v>55215</v>
      </c>
      <c r="AB16" s="344"/>
    </row>
    <row r="17" spans="1:28" ht="17.25" customHeight="1">
      <c r="A17" s="339">
        <v>9</v>
      </c>
      <c r="B17" s="340" t="s">
        <v>29</v>
      </c>
      <c r="C17" s="345">
        <v>2</v>
      </c>
      <c r="D17" s="364">
        <f>P17</f>
        <v>69554</v>
      </c>
      <c r="E17" s="364">
        <f>S17</f>
        <v>527</v>
      </c>
      <c r="F17" s="364">
        <f t="shared" si="4"/>
        <v>70081</v>
      </c>
      <c r="G17" s="365"/>
      <c r="H17" s="365">
        <f t="shared" si="5"/>
        <v>70081</v>
      </c>
      <c r="I17" s="366">
        <v>606341</v>
      </c>
      <c r="J17" s="366"/>
      <c r="K17" s="366"/>
      <c r="L17" s="366">
        <v>21</v>
      </c>
      <c r="M17" s="365">
        <f t="shared" si="6"/>
        <v>606362</v>
      </c>
      <c r="N17" s="365">
        <f t="shared" si="7"/>
        <v>676443</v>
      </c>
      <c r="O17" s="141">
        <f t="shared" si="8"/>
        <v>10.360222516900906</v>
      </c>
      <c r="P17" s="346">
        <f t="shared" si="0"/>
        <v>69554</v>
      </c>
      <c r="Q17" s="446">
        <v>41630</v>
      </c>
      <c r="R17" s="342">
        <v>27924</v>
      </c>
      <c r="S17" s="184">
        <f t="shared" si="1"/>
        <v>527</v>
      </c>
      <c r="T17" s="342">
        <v>215</v>
      </c>
      <c r="U17" s="342">
        <v>312</v>
      </c>
      <c r="V17" s="343"/>
      <c r="W17" s="316">
        <v>69495</v>
      </c>
      <c r="X17" s="344"/>
      <c r="Z17" s="344">
        <f t="shared" si="2"/>
        <v>41845</v>
      </c>
      <c r="AA17" s="344">
        <f t="shared" si="3"/>
        <v>28236</v>
      </c>
      <c r="AB17" s="344"/>
    </row>
    <row r="18" spans="1:28" ht="15">
      <c r="A18" s="339">
        <v>10</v>
      </c>
      <c r="B18" s="340" t="s">
        <v>30</v>
      </c>
      <c r="C18" s="345"/>
      <c r="D18" s="364"/>
      <c r="E18" s="364"/>
      <c r="F18" s="364"/>
      <c r="G18" s="365"/>
      <c r="H18" s="365"/>
      <c r="I18" s="366">
        <v>0</v>
      </c>
      <c r="J18" s="366"/>
      <c r="K18" s="366"/>
      <c r="L18" s="366"/>
      <c r="M18" s="365"/>
      <c r="N18" s="365"/>
      <c r="O18" s="141"/>
      <c r="P18" s="346">
        <f t="shared" si="0"/>
        <v>100025</v>
      </c>
      <c r="Q18" s="446">
        <v>17260</v>
      </c>
      <c r="R18" s="342">
        <v>82765</v>
      </c>
      <c r="S18" s="184">
        <f t="shared" si="1"/>
        <v>1562</v>
      </c>
      <c r="T18" s="342">
        <v>1562</v>
      </c>
      <c r="U18" s="342">
        <v>0</v>
      </c>
      <c r="V18" s="343"/>
      <c r="W18" s="316">
        <v>101754</v>
      </c>
      <c r="X18" s="344"/>
      <c r="Z18" s="344">
        <f t="shared" si="2"/>
        <v>18822</v>
      </c>
      <c r="AA18" s="344">
        <f t="shared" si="3"/>
        <v>82765</v>
      </c>
      <c r="AB18" s="344"/>
    </row>
    <row r="19" spans="1:28" ht="15">
      <c r="A19" s="339">
        <v>11</v>
      </c>
      <c r="B19" s="340" t="s">
        <v>31</v>
      </c>
      <c r="C19" s="345">
        <v>4</v>
      </c>
      <c r="D19" s="364">
        <f>P19</f>
        <v>175681</v>
      </c>
      <c r="E19" s="364">
        <f>S19</f>
        <v>12505</v>
      </c>
      <c r="F19" s="364">
        <f t="shared" si="4"/>
        <v>188186</v>
      </c>
      <c r="G19" s="365"/>
      <c r="H19" s="365">
        <f t="shared" si="5"/>
        <v>188186</v>
      </c>
      <c r="I19" s="366">
        <v>6422020</v>
      </c>
      <c r="J19" s="366">
        <v>6020557</v>
      </c>
      <c r="K19" s="366"/>
      <c r="L19" s="366">
        <v>2137127</v>
      </c>
      <c r="M19" s="365">
        <f t="shared" si="6"/>
        <v>14579704</v>
      </c>
      <c r="N19" s="365">
        <f t="shared" si="7"/>
        <v>14767890</v>
      </c>
      <c r="O19" s="141">
        <f t="shared" si="8"/>
        <v>1.274291723462187</v>
      </c>
      <c r="P19" s="346">
        <f t="shared" si="0"/>
        <v>175681</v>
      </c>
      <c r="Q19" s="446">
        <v>29143</v>
      </c>
      <c r="R19" s="342">
        <v>146538</v>
      </c>
      <c r="S19" s="184">
        <f>T19+U19</f>
        <v>12505</v>
      </c>
      <c r="T19" s="342">
        <v>7745</v>
      </c>
      <c r="U19" s="342">
        <v>4760</v>
      </c>
      <c r="V19" s="343"/>
      <c r="W19" s="316">
        <v>190936</v>
      </c>
      <c r="X19" s="344"/>
      <c r="Z19" s="344">
        <f t="shared" si="2"/>
        <v>36888</v>
      </c>
      <c r="AA19" s="344">
        <f t="shared" si="3"/>
        <v>151298</v>
      </c>
      <c r="AB19" s="344"/>
    </row>
    <row r="20" spans="1:28" ht="15">
      <c r="A20" s="339">
        <v>12</v>
      </c>
      <c r="B20" s="340" t="s">
        <v>32</v>
      </c>
      <c r="C20" s="345">
        <v>4</v>
      </c>
      <c r="D20" s="364">
        <f>P20</f>
        <v>288922</v>
      </c>
      <c r="E20" s="364">
        <f>S20</f>
        <v>4527</v>
      </c>
      <c r="F20" s="364">
        <f t="shared" si="4"/>
        <v>293449</v>
      </c>
      <c r="G20" s="365"/>
      <c r="H20" s="365">
        <f t="shared" si="5"/>
        <v>293449</v>
      </c>
      <c r="I20" s="366">
        <v>2886400</v>
      </c>
      <c r="J20" s="366">
        <v>1896682</v>
      </c>
      <c r="K20" s="366"/>
      <c r="L20" s="366">
        <v>501620</v>
      </c>
      <c r="M20" s="365">
        <f t="shared" si="6"/>
        <v>5284702</v>
      </c>
      <c r="N20" s="365">
        <f t="shared" si="7"/>
        <v>5578151</v>
      </c>
      <c r="O20" s="141">
        <f t="shared" si="8"/>
        <v>5.260685843750017</v>
      </c>
      <c r="P20" s="346">
        <f t="shared" si="0"/>
        <v>288922</v>
      </c>
      <c r="Q20" s="446">
        <v>39505</v>
      </c>
      <c r="R20" s="342">
        <v>249417</v>
      </c>
      <c r="S20" s="184">
        <f t="shared" si="1"/>
        <v>4527</v>
      </c>
      <c r="T20" s="342">
        <v>2783</v>
      </c>
      <c r="U20" s="342">
        <v>1744</v>
      </c>
      <c r="V20" s="343"/>
      <c r="W20" s="316">
        <v>293811</v>
      </c>
      <c r="X20" s="344"/>
      <c r="Z20" s="344">
        <f t="shared" si="2"/>
        <v>42288</v>
      </c>
      <c r="AA20" s="344">
        <f t="shared" si="3"/>
        <v>251161</v>
      </c>
      <c r="AB20" s="344"/>
    </row>
    <row r="21" spans="1:28" ht="15">
      <c r="A21" s="339">
        <v>13</v>
      </c>
      <c r="B21" s="340" t="s">
        <v>33</v>
      </c>
      <c r="C21" s="345">
        <v>3</v>
      </c>
      <c r="D21" s="364">
        <f>P21+P13</f>
        <v>198943</v>
      </c>
      <c r="E21" s="364">
        <f>S21+S13</f>
        <v>14959</v>
      </c>
      <c r="F21" s="364">
        <f t="shared" si="4"/>
        <v>213902</v>
      </c>
      <c r="G21" s="365"/>
      <c r="H21" s="365">
        <f t="shared" si="5"/>
        <v>213902</v>
      </c>
      <c r="I21" s="366">
        <v>3271604</v>
      </c>
      <c r="J21" s="366">
        <v>3896930</v>
      </c>
      <c r="K21" s="366"/>
      <c r="L21" s="366">
        <v>3153</v>
      </c>
      <c r="M21" s="365">
        <f t="shared" si="6"/>
        <v>7171687</v>
      </c>
      <c r="N21" s="365">
        <f t="shared" si="7"/>
        <v>7385589</v>
      </c>
      <c r="O21" s="141">
        <f t="shared" si="8"/>
        <v>2.8962077364445813</v>
      </c>
      <c r="P21" s="346">
        <f t="shared" si="0"/>
        <v>85453</v>
      </c>
      <c r="Q21" s="446">
        <v>20227</v>
      </c>
      <c r="R21" s="342">
        <v>65226</v>
      </c>
      <c r="S21" s="184">
        <f t="shared" si="1"/>
        <v>8442</v>
      </c>
      <c r="T21" s="342">
        <v>6766</v>
      </c>
      <c r="U21" s="342">
        <v>1676</v>
      </c>
      <c r="V21" s="343"/>
      <c r="W21" s="316">
        <v>108589</v>
      </c>
      <c r="X21" s="344"/>
      <c r="Z21" s="344">
        <f t="shared" si="2"/>
        <v>26993</v>
      </c>
      <c r="AA21" s="344">
        <f t="shared" si="3"/>
        <v>66902</v>
      </c>
      <c r="AB21" s="344"/>
    </row>
    <row r="22" spans="1:28" ht="15">
      <c r="A22" s="339">
        <v>14</v>
      </c>
      <c r="B22" s="340" t="s">
        <v>34</v>
      </c>
      <c r="C22" s="345">
        <v>4</v>
      </c>
      <c r="D22" s="364">
        <f>P22</f>
        <v>149890</v>
      </c>
      <c r="E22" s="364">
        <f>S22</f>
        <v>3444</v>
      </c>
      <c r="F22" s="364">
        <f t="shared" si="4"/>
        <v>153334</v>
      </c>
      <c r="G22" s="365"/>
      <c r="H22" s="365">
        <f t="shared" si="5"/>
        <v>153334</v>
      </c>
      <c r="I22" s="366">
        <v>7731522</v>
      </c>
      <c r="J22" s="366">
        <v>6340285</v>
      </c>
      <c r="K22" s="366"/>
      <c r="L22" s="366">
        <v>651414</v>
      </c>
      <c r="M22" s="365">
        <f t="shared" si="6"/>
        <v>14723221</v>
      </c>
      <c r="N22" s="365">
        <f t="shared" si="7"/>
        <v>14876555</v>
      </c>
      <c r="O22" s="141">
        <f t="shared" si="8"/>
        <v>1.0307090586496672</v>
      </c>
      <c r="P22" s="346">
        <f t="shared" si="0"/>
        <v>149890</v>
      </c>
      <c r="Q22" s="446">
        <v>39611</v>
      </c>
      <c r="R22" s="342">
        <v>110279</v>
      </c>
      <c r="S22" s="184">
        <f t="shared" si="1"/>
        <v>3444</v>
      </c>
      <c r="T22" s="342">
        <v>2808</v>
      </c>
      <c r="U22" s="342">
        <v>636</v>
      </c>
      <c r="V22" s="343"/>
      <c r="W22" s="316">
        <v>160560</v>
      </c>
      <c r="X22" s="344"/>
      <c r="Z22" s="344">
        <f t="shared" si="2"/>
        <v>42419</v>
      </c>
      <c r="AA22" s="344">
        <f t="shared" si="3"/>
        <v>110915</v>
      </c>
      <c r="AB22" s="344"/>
    </row>
    <row r="23" spans="1:28" ht="15">
      <c r="A23" s="339">
        <v>15</v>
      </c>
      <c r="B23" s="340" t="s">
        <v>35</v>
      </c>
      <c r="C23" s="345">
        <v>1</v>
      </c>
      <c r="D23" s="364">
        <f>P23+P24</f>
        <v>143351</v>
      </c>
      <c r="E23" s="364">
        <f>S23+S24</f>
        <v>3080</v>
      </c>
      <c r="F23" s="364">
        <f t="shared" si="4"/>
        <v>146431</v>
      </c>
      <c r="G23" s="365"/>
      <c r="H23" s="365">
        <f t="shared" si="5"/>
        <v>146431</v>
      </c>
      <c r="I23" s="366">
        <v>0</v>
      </c>
      <c r="J23" s="366"/>
      <c r="K23" s="366"/>
      <c r="L23" s="366">
        <v>151</v>
      </c>
      <c r="M23" s="365">
        <f t="shared" si="6"/>
        <v>151</v>
      </c>
      <c r="N23" s="365">
        <f t="shared" si="7"/>
        <v>146582</v>
      </c>
      <c r="O23" s="141">
        <f t="shared" si="8"/>
        <v>99.89698598736544</v>
      </c>
      <c r="P23" s="346">
        <f t="shared" si="0"/>
        <v>68929</v>
      </c>
      <c r="Q23" s="446">
        <v>790</v>
      </c>
      <c r="R23" s="342">
        <v>68139</v>
      </c>
      <c r="S23" s="184">
        <f t="shared" si="1"/>
        <v>227</v>
      </c>
      <c r="T23" s="342">
        <v>44</v>
      </c>
      <c r="U23" s="342">
        <v>183</v>
      </c>
      <c r="V23" s="343"/>
      <c r="W23" s="316">
        <v>69313</v>
      </c>
      <c r="X23" s="344"/>
      <c r="Z23" s="344">
        <f t="shared" si="2"/>
        <v>834</v>
      </c>
      <c r="AA23" s="344">
        <f t="shared" si="3"/>
        <v>68322</v>
      </c>
      <c r="AB23" s="344"/>
    </row>
    <row r="24" spans="1:28" ht="15">
      <c r="A24" s="339">
        <v>16</v>
      </c>
      <c r="B24" s="340" t="s">
        <v>36</v>
      </c>
      <c r="C24" s="345"/>
      <c r="D24" s="364"/>
      <c r="E24" s="364"/>
      <c r="F24" s="364"/>
      <c r="G24" s="365"/>
      <c r="H24" s="365"/>
      <c r="I24" s="366">
        <v>0</v>
      </c>
      <c r="J24" s="366"/>
      <c r="K24" s="366"/>
      <c r="L24" s="366"/>
      <c r="M24" s="365"/>
      <c r="N24" s="365"/>
      <c r="O24" s="141"/>
      <c r="P24" s="346">
        <f t="shared" si="0"/>
        <v>74422</v>
      </c>
      <c r="Q24" s="446">
        <v>32659</v>
      </c>
      <c r="R24" s="342">
        <v>41763</v>
      </c>
      <c r="S24" s="184">
        <f aca="true" t="shared" si="9" ref="S24:S34">T24+U24</f>
        <v>2853</v>
      </c>
      <c r="T24" s="342">
        <v>2505</v>
      </c>
      <c r="U24" s="342">
        <v>348</v>
      </c>
      <c r="V24" s="343"/>
      <c r="W24" s="316">
        <v>76961</v>
      </c>
      <c r="X24" s="344"/>
      <c r="Z24" s="344">
        <f t="shared" si="2"/>
        <v>35164</v>
      </c>
      <c r="AA24" s="344">
        <f t="shared" si="3"/>
        <v>42111</v>
      </c>
      <c r="AB24" s="344"/>
    </row>
    <row r="25" spans="1:28" ht="15">
      <c r="A25" s="339">
        <v>17</v>
      </c>
      <c r="B25" s="340" t="s">
        <v>37</v>
      </c>
      <c r="C25" s="345">
        <v>2</v>
      </c>
      <c r="D25" s="364">
        <f>P25</f>
        <v>73701</v>
      </c>
      <c r="E25" s="364">
        <f>S25</f>
        <v>0</v>
      </c>
      <c r="F25" s="364">
        <f t="shared" si="4"/>
        <v>73701</v>
      </c>
      <c r="G25" s="365"/>
      <c r="H25" s="365">
        <f t="shared" si="5"/>
        <v>73701</v>
      </c>
      <c r="I25" s="366">
        <v>0</v>
      </c>
      <c r="J25" s="366">
        <v>2142853</v>
      </c>
      <c r="K25" s="366"/>
      <c r="L25" s="366">
        <v>787</v>
      </c>
      <c r="M25" s="365">
        <f t="shared" si="6"/>
        <v>2143640</v>
      </c>
      <c r="N25" s="365">
        <f t="shared" si="7"/>
        <v>2217341</v>
      </c>
      <c r="O25" s="141">
        <f t="shared" si="8"/>
        <v>3.3238459939179408</v>
      </c>
      <c r="P25" s="346">
        <f t="shared" si="0"/>
        <v>73701</v>
      </c>
      <c r="Q25" s="446">
        <v>26849</v>
      </c>
      <c r="R25" s="342">
        <v>46852</v>
      </c>
      <c r="S25" s="184">
        <f t="shared" si="9"/>
        <v>0</v>
      </c>
      <c r="T25" s="342">
        <v>0</v>
      </c>
      <c r="U25" s="342">
        <v>0</v>
      </c>
      <c r="V25" s="343"/>
      <c r="W25" s="316">
        <v>74264</v>
      </c>
      <c r="X25" s="344"/>
      <c r="Z25" s="344">
        <f t="shared" si="2"/>
        <v>26849</v>
      </c>
      <c r="AA25" s="344">
        <f t="shared" si="3"/>
        <v>46852</v>
      </c>
      <c r="AB25" s="344"/>
    </row>
    <row r="26" spans="1:28" ht="15">
      <c r="A26" s="339">
        <v>18</v>
      </c>
      <c r="B26" s="340" t="s">
        <v>38</v>
      </c>
      <c r="C26" s="345">
        <v>4</v>
      </c>
      <c r="D26" s="364">
        <f>P26</f>
        <v>26604</v>
      </c>
      <c r="E26" s="364">
        <f>S26</f>
        <v>15373</v>
      </c>
      <c r="F26" s="364">
        <f t="shared" si="4"/>
        <v>41977</v>
      </c>
      <c r="G26" s="365"/>
      <c r="H26" s="365">
        <f t="shared" si="5"/>
        <v>41977</v>
      </c>
      <c r="I26" s="366">
        <v>2847712</v>
      </c>
      <c r="J26" s="366">
        <v>2455289</v>
      </c>
      <c r="K26" s="366">
        <v>1589812</v>
      </c>
      <c r="L26" s="366">
        <v>1146</v>
      </c>
      <c r="M26" s="365">
        <f t="shared" si="6"/>
        <v>6893959</v>
      </c>
      <c r="N26" s="365">
        <f t="shared" si="7"/>
        <v>6935936</v>
      </c>
      <c r="O26" s="141">
        <f t="shared" si="8"/>
        <v>0.6052103133592928</v>
      </c>
      <c r="P26" s="346">
        <f t="shared" si="0"/>
        <v>26604</v>
      </c>
      <c r="Q26" s="446">
        <v>4463</v>
      </c>
      <c r="R26" s="342">
        <v>22141</v>
      </c>
      <c r="S26" s="184">
        <f t="shared" si="9"/>
        <v>15373</v>
      </c>
      <c r="T26" s="348">
        <v>12672</v>
      </c>
      <c r="U26" s="342">
        <v>2701</v>
      </c>
      <c r="V26" s="343"/>
      <c r="W26" s="316">
        <v>47218</v>
      </c>
      <c r="X26" s="344"/>
      <c r="Z26" s="344">
        <f t="shared" si="2"/>
        <v>17135</v>
      </c>
      <c r="AA26" s="344">
        <f t="shared" si="3"/>
        <v>24842</v>
      </c>
      <c r="AB26" s="344"/>
    </row>
    <row r="27" spans="1:28" ht="15">
      <c r="A27" s="339">
        <v>19</v>
      </c>
      <c r="B27" s="340" t="s">
        <v>39</v>
      </c>
      <c r="C27" s="345">
        <v>4</v>
      </c>
      <c r="D27" s="364">
        <f>P27</f>
        <v>171982</v>
      </c>
      <c r="E27" s="364">
        <f>S27</f>
        <v>9341</v>
      </c>
      <c r="F27" s="364">
        <f t="shared" si="4"/>
        <v>181323</v>
      </c>
      <c r="G27" s="365"/>
      <c r="H27" s="365">
        <f t="shared" si="5"/>
        <v>181323</v>
      </c>
      <c r="I27" s="366">
        <v>5385665</v>
      </c>
      <c r="J27" s="366">
        <v>2985998</v>
      </c>
      <c r="K27" s="366"/>
      <c r="L27" s="366">
        <v>2188875</v>
      </c>
      <c r="M27" s="365">
        <f t="shared" si="6"/>
        <v>10560538</v>
      </c>
      <c r="N27" s="365">
        <f t="shared" si="7"/>
        <v>10741861</v>
      </c>
      <c r="O27" s="141">
        <f t="shared" si="8"/>
        <v>1.6880035963973095</v>
      </c>
      <c r="P27" s="346">
        <f t="shared" si="0"/>
        <v>171982</v>
      </c>
      <c r="Q27" s="446">
        <v>24341</v>
      </c>
      <c r="R27" s="342">
        <v>147641</v>
      </c>
      <c r="S27" s="184">
        <f t="shared" si="9"/>
        <v>9341</v>
      </c>
      <c r="T27" s="342">
        <v>6621</v>
      </c>
      <c r="U27" s="342">
        <v>2720</v>
      </c>
      <c r="V27" s="343"/>
      <c r="W27" s="316">
        <v>182702</v>
      </c>
      <c r="X27" s="344"/>
      <c r="Z27" s="344">
        <f t="shared" si="2"/>
        <v>30962</v>
      </c>
      <c r="AA27" s="344">
        <f t="shared" si="3"/>
        <v>150361</v>
      </c>
      <c r="AB27" s="344"/>
    </row>
    <row r="28" spans="1:28" ht="15">
      <c r="A28" s="339">
        <v>20</v>
      </c>
      <c r="B28" s="340" t="s">
        <v>40</v>
      </c>
      <c r="C28" s="345">
        <v>4</v>
      </c>
      <c r="D28" s="364">
        <f>P28</f>
        <v>99428</v>
      </c>
      <c r="E28" s="364">
        <f>S28</f>
        <v>5959</v>
      </c>
      <c r="F28" s="364">
        <f t="shared" si="4"/>
        <v>105387</v>
      </c>
      <c r="G28" s="365"/>
      <c r="H28" s="365">
        <f t="shared" si="5"/>
        <v>105387</v>
      </c>
      <c r="I28" s="366">
        <v>5711833</v>
      </c>
      <c r="J28" s="366">
        <v>4102227</v>
      </c>
      <c r="K28" s="366"/>
      <c r="L28" s="366">
        <v>1227697</v>
      </c>
      <c r="M28" s="365">
        <f t="shared" si="6"/>
        <v>11041757</v>
      </c>
      <c r="N28" s="365">
        <f t="shared" si="7"/>
        <v>11147144</v>
      </c>
      <c r="O28" s="141">
        <f t="shared" si="8"/>
        <v>0.9454170503224862</v>
      </c>
      <c r="P28" s="346">
        <f t="shared" si="0"/>
        <v>99428</v>
      </c>
      <c r="Q28" s="446">
        <v>5453</v>
      </c>
      <c r="R28" s="342">
        <v>93975</v>
      </c>
      <c r="S28" s="184">
        <f t="shared" si="9"/>
        <v>5959</v>
      </c>
      <c r="T28" s="342">
        <v>4660</v>
      </c>
      <c r="U28" s="342">
        <v>1299</v>
      </c>
      <c r="V28" s="343"/>
      <c r="W28" s="316">
        <v>105069</v>
      </c>
      <c r="X28" s="344"/>
      <c r="Z28" s="344">
        <f t="shared" si="2"/>
        <v>10113</v>
      </c>
      <c r="AA28" s="344">
        <f t="shared" si="3"/>
        <v>95274</v>
      </c>
      <c r="AB28" s="344"/>
    </row>
    <row r="29" spans="1:28" ht="15">
      <c r="A29" s="339">
        <v>21</v>
      </c>
      <c r="B29" s="340" t="s">
        <v>41</v>
      </c>
      <c r="C29" s="345"/>
      <c r="D29" s="364"/>
      <c r="E29" s="364"/>
      <c r="F29" s="364"/>
      <c r="G29" s="365"/>
      <c r="H29" s="365"/>
      <c r="I29" s="366">
        <v>0</v>
      </c>
      <c r="J29" s="366"/>
      <c r="K29" s="366"/>
      <c r="L29" s="366"/>
      <c r="M29" s="365"/>
      <c r="N29" s="365"/>
      <c r="O29" s="141"/>
      <c r="P29" s="346">
        <f t="shared" si="0"/>
        <v>45038</v>
      </c>
      <c r="Q29" s="446">
        <v>426</v>
      </c>
      <c r="R29" s="342">
        <v>44612</v>
      </c>
      <c r="S29" s="184">
        <f t="shared" si="9"/>
        <v>1227</v>
      </c>
      <c r="T29" s="348">
        <v>382</v>
      </c>
      <c r="U29" s="342">
        <v>845</v>
      </c>
      <c r="V29" s="343"/>
      <c r="W29" s="316">
        <v>47210</v>
      </c>
      <c r="X29" s="344"/>
      <c r="Z29" s="344">
        <f t="shared" si="2"/>
        <v>808</v>
      </c>
      <c r="AA29" s="344">
        <f t="shared" si="3"/>
        <v>45457</v>
      </c>
      <c r="AB29" s="344"/>
    </row>
    <row r="30" spans="1:28" ht="15">
      <c r="A30" s="339">
        <v>22</v>
      </c>
      <c r="B30" s="340" t="s">
        <v>42</v>
      </c>
      <c r="C30" s="345">
        <v>4</v>
      </c>
      <c r="D30" s="364">
        <f>P30</f>
        <v>388418</v>
      </c>
      <c r="E30" s="364">
        <f>S30</f>
        <v>33641</v>
      </c>
      <c r="F30" s="364">
        <f t="shared" si="4"/>
        <v>422059</v>
      </c>
      <c r="G30" s="365"/>
      <c r="H30" s="365">
        <f t="shared" si="5"/>
        <v>422059</v>
      </c>
      <c r="I30" s="366">
        <v>9661637</v>
      </c>
      <c r="J30" s="366">
        <v>4083136</v>
      </c>
      <c r="K30" s="366"/>
      <c r="L30" s="366">
        <v>537198</v>
      </c>
      <c r="M30" s="365">
        <f>I30+K30+J30+L30</f>
        <v>14281971</v>
      </c>
      <c r="N30" s="365">
        <f t="shared" si="7"/>
        <v>14704030</v>
      </c>
      <c r="O30" s="141">
        <f t="shared" si="8"/>
        <v>2.8703627508921024</v>
      </c>
      <c r="P30" s="346">
        <f t="shared" si="0"/>
        <v>388418</v>
      </c>
      <c r="Q30" s="446">
        <v>36063</v>
      </c>
      <c r="R30" s="342">
        <v>352355</v>
      </c>
      <c r="S30" s="184">
        <f t="shared" si="9"/>
        <v>33641</v>
      </c>
      <c r="T30" s="349">
        <v>21231</v>
      </c>
      <c r="U30" s="342">
        <v>12410</v>
      </c>
      <c r="V30" s="343"/>
      <c r="W30" s="316">
        <v>424679</v>
      </c>
      <c r="X30" s="344"/>
      <c r="Z30" s="344">
        <f t="shared" si="2"/>
        <v>57294</v>
      </c>
      <c r="AA30" s="344">
        <f t="shared" si="3"/>
        <v>364765</v>
      </c>
      <c r="AB30" s="344"/>
    </row>
    <row r="31" spans="1:28" ht="15.75" customHeight="1">
      <c r="A31" s="339">
        <v>23</v>
      </c>
      <c r="B31" s="340" t="s">
        <v>43</v>
      </c>
      <c r="C31" s="345">
        <v>4</v>
      </c>
      <c r="D31" s="364">
        <f>P31+P29</f>
        <v>130779</v>
      </c>
      <c r="E31" s="364">
        <f>S31+S29</f>
        <v>3872</v>
      </c>
      <c r="F31" s="364">
        <f t="shared" si="4"/>
        <v>134651</v>
      </c>
      <c r="G31" s="365"/>
      <c r="H31" s="365">
        <f t="shared" si="5"/>
        <v>134651</v>
      </c>
      <c r="I31" s="366">
        <v>6587565</v>
      </c>
      <c r="J31" s="366">
        <v>3931987</v>
      </c>
      <c r="K31" s="366"/>
      <c r="L31" s="366">
        <v>570069</v>
      </c>
      <c r="M31" s="365">
        <f t="shared" si="6"/>
        <v>11089621</v>
      </c>
      <c r="N31" s="365">
        <f t="shared" si="7"/>
        <v>11224272</v>
      </c>
      <c r="O31" s="141">
        <f t="shared" si="8"/>
        <v>1.1996412774031135</v>
      </c>
      <c r="P31" s="346">
        <f t="shared" si="0"/>
        <v>85741</v>
      </c>
      <c r="Q31" s="446">
        <v>15590</v>
      </c>
      <c r="R31" s="342">
        <v>70151</v>
      </c>
      <c r="S31" s="184">
        <f t="shared" si="9"/>
        <v>2645</v>
      </c>
      <c r="T31" s="348">
        <v>1665</v>
      </c>
      <c r="U31" s="342">
        <v>980</v>
      </c>
      <c r="V31" s="343"/>
      <c r="W31" s="316">
        <v>95097</v>
      </c>
      <c r="X31" s="344"/>
      <c r="Z31" s="344">
        <f t="shared" si="2"/>
        <v>17255</v>
      </c>
      <c r="AA31" s="344">
        <f t="shared" si="3"/>
        <v>71131</v>
      </c>
      <c r="AB31" s="344"/>
    </row>
    <row r="32" spans="1:28" ht="15">
      <c r="A32" s="339">
        <v>24</v>
      </c>
      <c r="B32" s="340" t="s">
        <v>44</v>
      </c>
      <c r="C32" s="345">
        <v>3</v>
      </c>
      <c r="D32" s="364">
        <f>P32+P9</f>
        <v>66358</v>
      </c>
      <c r="E32" s="364">
        <f>S32+S9</f>
        <v>9715</v>
      </c>
      <c r="F32" s="364">
        <f t="shared" si="4"/>
        <v>76073</v>
      </c>
      <c r="G32" s="365"/>
      <c r="H32" s="365">
        <f t="shared" si="5"/>
        <v>76073</v>
      </c>
      <c r="I32" s="366">
        <v>0</v>
      </c>
      <c r="J32" s="366">
        <v>2125904</v>
      </c>
      <c r="K32" s="366"/>
      <c r="L32" s="366">
        <v>1948996</v>
      </c>
      <c r="M32" s="365">
        <f t="shared" si="6"/>
        <v>4074900</v>
      </c>
      <c r="N32" s="365">
        <f t="shared" si="7"/>
        <v>4150973</v>
      </c>
      <c r="O32" s="141">
        <f t="shared" si="8"/>
        <v>1.8326546571129225</v>
      </c>
      <c r="P32" s="346">
        <f t="shared" si="0"/>
        <v>61084</v>
      </c>
      <c r="Q32" s="446">
        <v>-1797</v>
      </c>
      <c r="R32" s="342">
        <v>62881</v>
      </c>
      <c r="S32" s="184">
        <f t="shared" si="9"/>
        <v>3784</v>
      </c>
      <c r="T32" s="342">
        <v>2766</v>
      </c>
      <c r="U32" s="342">
        <v>1018</v>
      </c>
      <c r="V32" s="343"/>
      <c r="W32" s="316">
        <v>64883</v>
      </c>
      <c r="X32" s="344"/>
      <c r="Z32" s="344">
        <f t="shared" si="2"/>
        <v>969</v>
      </c>
      <c r="AA32" s="344">
        <f t="shared" si="3"/>
        <v>63899</v>
      </c>
      <c r="AB32" s="344"/>
    </row>
    <row r="33" spans="1:28" ht="15">
      <c r="A33" s="339">
        <v>25</v>
      </c>
      <c r="B33" s="340" t="s">
        <v>45</v>
      </c>
      <c r="C33" s="345">
        <v>3</v>
      </c>
      <c r="D33" s="364">
        <f>P33</f>
        <v>21442</v>
      </c>
      <c r="E33" s="364">
        <f>S33</f>
        <v>3082</v>
      </c>
      <c r="F33" s="364">
        <f t="shared" si="4"/>
        <v>24524</v>
      </c>
      <c r="G33" s="365"/>
      <c r="H33" s="365">
        <f t="shared" si="5"/>
        <v>24524</v>
      </c>
      <c r="I33" s="366">
        <v>0</v>
      </c>
      <c r="J33" s="366">
        <v>2885466</v>
      </c>
      <c r="K33" s="366"/>
      <c r="L33" s="366">
        <v>882258</v>
      </c>
      <c r="M33" s="365">
        <f t="shared" si="6"/>
        <v>3767724</v>
      </c>
      <c r="N33" s="365">
        <f t="shared" si="7"/>
        <v>3792248</v>
      </c>
      <c r="O33" s="141">
        <f t="shared" si="8"/>
        <v>0.646687663886961</v>
      </c>
      <c r="P33" s="346">
        <f t="shared" si="0"/>
        <v>21442</v>
      </c>
      <c r="Q33" s="446">
        <v>21442</v>
      </c>
      <c r="R33" s="342">
        <v>0</v>
      </c>
      <c r="S33" s="184">
        <f t="shared" si="9"/>
        <v>3082</v>
      </c>
      <c r="T33" s="342">
        <v>3082</v>
      </c>
      <c r="U33" s="342">
        <v>0</v>
      </c>
      <c r="V33" s="343"/>
      <c r="W33" s="316">
        <v>28601</v>
      </c>
      <c r="X33" s="344"/>
      <c r="Z33" s="344">
        <f t="shared" si="2"/>
        <v>24524</v>
      </c>
      <c r="AA33" s="344">
        <f t="shared" si="3"/>
        <v>0</v>
      </c>
      <c r="AB33" s="344"/>
    </row>
    <row r="34" spans="1:28" ht="15">
      <c r="A34" s="339">
        <v>26</v>
      </c>
      <c r="B34" s="340" t="s">
        <v>46</v>
      </c>
      <c r="C34" s="345">
        <v>3</v>
      </c>
      <c r="D34" s="364">
        <f>P34</f>
        <v>14730</v>
      </c>
      <c r="E34" s="364">
        <f>S34</f>
        <v>1491</v>
      </c>
      <c r="F34" s="364">
        <f t="shared" si="4"/>
        <v>16221</v>
      </c>
      <c r="G34" s="365"/>
      <c r="H34" s="365">
        <f t="shared" si="5"/>
        <v>16221</v>
      </c>
      <c r="I34" s="366">
        <v>830142</v>
      </c>
      <c r="J34" s="366">
        <v>1406337</v>
      </c>
      <c r="K34" s="366"/>
      <c r="L34" s="366"/>
      <c r="M34" s="365">
        <f>I34+K34+J34+L34</f>
        <v>2236479</v>
      </c>
      <c r="N34" s="365">
        <f t="shared" si="7"/>
        <v>2252700</v>
      </c>
      <c r="O34" s="141">
        <f t="shared" si="8"/>
        <v>0.7200692502330537</v>
      </c>
      <c r="P34" s="346">
        <f t="shared" si="0"/>
        <v>14730</v>
      </c>
      <c r="Q34" s="446">
        <v>331</v>
      </c>
      <c r="R34" s="342">
        <v>14399</v>
      </c>
      <c r="S34" s="184">
        <f t="shared" si="9"/>
        <v>1491</v>
      </c>
      <c r="T34" s="342">
        <v>1491</v>
      </c>
      <c r="U34" s="342">
        <v>0</v>
      </c>
      <c r="V34" s="343"/>
      <c r="W34" s="316">
        <v>16223</v>
      </c>
      <c r="X34" s="344"/>
      <c r="Z34" s="344">
        <f t="shared" si="2"/>
        <v>1822</v>
      </c>
      <c r="AA34" s="344">
        <f t="shared" si="3"/>
        <v>14399</v>
      </c>
      <c r="AB34" s="344"/>
    </row>
    <row r="35" spans="1:28" ht="15.75">
      <c r="A35" s="339"/>
      <c r="B35" s="27" t="s">
        <v>47</v>
      </c>
      <c r="C35" s="339">
        <v>4</v>
      </c>
      <c r="D35" s="367">
        <f>SUM(D9:D34)</f>
        <v>2613129</v>
      </c>
      <c r="E35" s="367">
        <f>SUM(E9:E34)</f>
        <v>166631</v>
      </c>
      <c r="F35" s="367">
        <f>SUM(F9:F34)</f>
        <v>2779760</v>
      </c>
      <c r="G35" s="365">
        <f aca="true" t="shared" si="10" ref="G35:L35">SUM(G9:G34)</f>
        <v>0</v>
      </c>
      <c r="H35" s="365">
        <f t="shared" si="10"/>
        <v>2779760</v>
      </c>
      <c r="I35" s="366">
        <f t="shared" si="10"/>
        <v>70886048</v>
      </c>
      <c r="J35" s="366">
        <f t="shared" si="10"/>
        <v>60493055</v>
      </c>
      <c r="K35" s="366">
        <f t="shared" si="10"/>
        <v>1589812</v>
      </c>
      <c r="L35" s="366">
        <f t="shared" si="10"/>
        <v>12975854</v>
      </c>
      <c r="M35" s="365">
        <f>SUM(M9:M34)</f>
        <v>145944769</v>
      </c>
      <c r="N35" s="365">
        <f>SUM(N9:N34)</f>
        <v>148724529</v>
      </c>
      <c r="O35" s="141">
        <f t="shared" si="8"/>
        <v>1.8690662654577983</v>
      </c>
      <c r="P35" s="346">
        <f aca="true" t="shared" si="11" ref="P35:U35">SUM(P9:P34)</f>
        <v>2613129</v>
      </c>
      <c r="Q35" s="21">
        <f t="shared" si="11"/>
        <v>435167</v>
      </c>
      <c r="R35" s="21">
        <f t="shared" si="11"/>
        <v>2177962</v>
      </c>
      <c r="S35" s="184">
        <f t="shared" si="11"/>
        <v>166631</v>
      </c>
      <c r="T35" s="21">
        <f t="shared" si="11"/>
        <v>114384</v>
      </c>
      <c r="U35" s="184">
        <f t="shared" si="11"/>
        <v>52247</v>
      </c>
      <c r="V35" s="343"/>
      <c r="W35" s="316"/>
      <c r="Z35" s="344"/>
      <c r="AA35" s="344"/>
      <c r="AB35" s="344"/>
    </row>
    <row r="36" spans="1:28" ht="15">
      <c r="A36" s="185">
        <v>27</v>
      </c>
      <c r="B36" s="28" t="s">
        <v>48</v>
      </c>
      <c r="C36" s="185"/>
      <c r="D36" s="365"/>
      <c r="E36" s="365"/>
      <c r="F36" s="365"/>
      <c r="G36" s="365">
        <v>85754</v>
      </c>
      <c r="H36" s="365">
        <f t="shared" si="5"/>
        <v>85754</v>
      </c>
      <c r="I36" s="366">
        <v>7441989</v>
      </c>
      <c r="J36" s="366">
        <v>3756016</v>
      </c>
      <c r="K36" s="366"/>
      <c r="L36" s="366">
        <v>929889</v>
      </c>
      <c r="M36" s="365">
        <f>I36+K36+J36+L36</f>
        <v>12127894</v>
      </c>
      <c r="N36" s="365">
        <f t="shared" si="7"/>
        <v>12213648</v>
      </c>
      <c r="O36" s="372" t="s">
        <v>130</v>
      </c>
      <c r="AB36" s="344"/>
    </row>
    <row r="37" spans="1:28" ht="15">
      <c r="A37" s="185">
        <v>28</v>
      </c>
      <c r="B37" s="28" t="s">
        <v>49</v>
      </c>
      <c r="C37" s="185"/>
      <c r="D37" s="365"/>
      <c r="E37" s="365"/>
      <c r="F37" s="365"/>
      <c r="G37" s="365">
        <v>96985</v>
      </c>
      <c r="H37" s="365">
        <f t="shared" si="5"/>
        <v>96985</v>
      </c>
      <c r="I37" s="366">
        <v>5984368</v>
      </c>
      <c r="J37" s="366">
        <v>3432943</v>
      </c>
      <c r="K37" s="366"/>
      <c r="L37" s="366">
        <v>447707</v>
      </c>
      <c r="M37" s="365">
        <f>I37+K37+J37+L37</f>
        <v>9865018</v>
      </c>
      <c r="N37" s="365">
        <f t="shared" si="7"/>
        <v>9962003</v>
      </c>
      <c r="O37" s="372" t="s">
        <v>130</v>
      </c>
      <c r="Q37" s="350"/>
      <c r="R37" s="350"/>
      <c r="S37" s="344"/>
      <c r="T37" s="344"/>
      <c r="U37" s="344"/>
      <c r="Z37" s="344"/>
      <c r="AB37" s="344"/>
    </row>
    <row r="38" spans="1:28" ht="15">
      <c r="A38" s="185"/>
      <c r="B38" s="28" t="s">
        <v>50</v>
      </c>
      <c r="C38" s="185">
        <v>4</v>
      </c>
      <c r="D38" s="365">
        <f aca="true" t="shared" si="12" ref="D38:J38">SUM(D35:D37)</f>
        <v>2613129</v>
      </c>
      <c r="E38" s="365">
        <f t="shared" si="12"/>
        <v>166631</v>
      </c>
      <c r="F38" s="365">
        <f t="shared" si="12"/>
        <v>2779760</v>
      </c>
      <c r="G38" s="365">
        <f t="shared" si="12"/>
        <v>182739</v>
      </c>
      <c r="H38" s="365">
        <f t="shared" si="12"/>
        <v>2962499</v>
      </c>
      <c r="I38" s="366">
        <f t="shared" si="12"/>
        <v>84312405</v>
      </c>
      <c r="J38" s="366">
        <f t="shared" si="12"/>
        <v>67682014</v>
      </c>
      <c r="K38" s="366">
        <f>SUM(K35:K37)</f>
        <v>1589812</v>
      </c>
      <c r="L38" s="366">
        <f>SUM(L35:L37)</f>
        <v>14353450</v>
      </c>
      <c r="M38" s="365">
        <f>SUM(M35:M37)</f>
        <v>167937681</v>
      </c>
      <c r="N38" s="365">
        <f>SUM(N35:N37)</f>
        <v>170900180</v>
      </c>
      <c r="O38" s="141">
        <f>F38/N38*100</f>
        <v>1.626540124182432</v>
      </c>
      <c r="Q38" s="350"/>
      <c r="S38" s="344"/>
      <c r="T38" s="344"/>
      <c r="U38" s="344"/>
      <c r="Z38" s="344"/>
      <c r="AA38" s="344"/>
      <c r="AB38" s="344"/>
    </row>
    <row r="39" spans="1:28" ht="15">
      <c r="A39" s="28" t="s">
        <v>51</v>
      </c>
      <c r="B39" s="351"/>
      <c r="C39" s="352"/>
      <c r="D39" s="368">
        <f>D38/$N$38*100</f>
        <v>1.529038178894838</v>
      </c>
      <c r="E39" s="368">
        <f aca="true" t="shared" si="13" ref="E39:N39">E38/$N$38*100</f>
        <v>0.09750194528759419</v>
      </c>
      <c r="F39" s="368">
        <f t="shared" si="13"/>
        <v>1.626540124182432</v>
      </c>
      <c r="G39" s="368">
        <f t="shared" si="13"/>
        <v>0.10692733032814827</v>
      </c>
      <c r="H39" s="368">
        <f t="shared" si="13"/>
        <v>1.7334674545105806</v>
      </c>
      <c r="I39" s="368">
        <f t="shared" si="13"/>
        <v>49.334298536139634</v>
      </c>
      <c r="J39" s="368">
        <f t="shared" si="13"/>
        <v>39.60324324994859</v>
      </c>
      <c r="K39" s="368">
        <f t="shared" si="13"/>
        <v>0.9302576509866755</v>
      </c>
      <c r="L39" s="368">
        <f t="shared" si="13"/>
        <v>8.398733108414515</v>
      </c>
      <c r="M39" s="368">
        <f t="shared" si="13"/>
        <v>98.26653254548941</v>
      </c>
      <c r="N39" s="368">
        <f t="shared" si="13"/>
        <v>100</v>
      </c>
      <c r="O39" s="353"/>
      <c r="Z39" s="344"/>
      <c r="AA39" s="344"/>
      <c r="AB39" s="344"/>
    </row>
    <row r="40" spans="1:17" ht="15">
      <c r="A40" s="162"/>
      <c r="B40" s="354"/>
      <c r="C40" s="355"/>
      <c r="D40" s="369"/>
      <c r="E40" s="369"/>
      <c r="F40" s="369"/>
      <c r="G40" s="369"/>
      <c r="H40" s="369"/>
      <c r="I40" s="370"/>
      <c r="J40" s="369"/>
      <c r="K40" s="369"/>
      <c r="L40" s="369"/>
      <c r="M40" s="369"/>
      <c r="N40" s="369"/>
      <c r="O40" s="356"/>
      <c r="Q40" s="344"/>
    </row>
    <row r="41" spans="1:15" ht="15">
      <c r="A41" s="28" t="str">
        <f>'Anne-6'!A42</f>
        <v>Conn. As on 31.12.2012</v>
      </c>
      <c r="B41" s="351"/>
      <c r="C41" s="352">
        <v>4</v>
      </c>
      <c r="D41" s="371">
        <v>2662033</v>
      </c>
      <c r="E41" s="365">
        <v>167537</v>
      </c>
      <c r="F41" s="365">
        <v>2829570</v>
      </c>
      <c r="G41" s="371">
        <v>183461</v>
      </c>
      <c r="H41" s="365">
        <v>3013031</v>
      </c>
      <c r="I41" s="366">
        <v>85585087</v>
      </c>
      <c r="J41" s="371">
        <v>69558122</v>
      </c>
      <c r="K41" s="371">
        <v>1696650</v>
      </c>
      <c r="L41" s="371">
        <v>14880003</v>
      </c>
      <c r="M41" s="371">
        <v>171719862</v>
      </c>
      <c r="N41" s="365">
        <v>174732893</v>
      </c>
      <c r="O41" s="150">
        <f>F41/N41*100</f>
        <v>1.6193688271389177</v>
      </c>
    </row>
    <row r="42" spans="1:15" ht="15">
      <c r="A42" s="28" t="str">
        <f>'Anne-6'!A43</f>
        <v>Addition during Jan 2013</v>
      </c>
      <c r="B42" s="357"/>
      <c r="C42" s="358">
        <v>2</v>
      </c>
      <c r="D42" s="371">
        <f>D38-D41</f>
        <v>-48904</v>
      </c>
      <c r="E42" s="371">
        <f>E38-E41</f>
        <v>-906</v>
      </c>
      <c r="F42" s="371">
        <f>F38-F41</f>
        <v>-49810</v>
      </c>
      <c r="G42" s="371">
        <f>G38-G41</f>
        <v>-722</v>
      </c>
      <c r="H42" s="371">
        <f>H38-H41</f>
        <v>-50532</v>
      </c>
      <c r="I42" s="371">
        <f aca="true" t="shared" si="14" ref="I42:N42">I38-I41</f>
        <v>-1272682</v>
      </c>
      <c r="J42" s="371">
        <f t="shared" si="14"/>
        <v>-1876108</v>
      </c>
      <c r="K42" s="371">
        <f t="shared" si="14"/>
        <v>-106838</v>
      </c>
      <c r="L42" s="371">
        <f t="shared" si="14"/>
        <v>-526553</v>
      </c>
      <c r="M42" s="371">
        <f>M38-M41</f>
        <v>-3782181</v>
      </c>
      <c r="N42" s="371">
        <f t="shared" si="14"/>
        <v>-3832713</v>
      </c>
      <c r="O42" s="413" t="s">
        <v>130</v>
      </c>
    </row>
    <row r="43" spans="1:15" ht="15">
      <c r="A43" s="28" t="str">
        <f>'Anne-6'!A44</f>
        <v>Conn. As on 31.03.2012</v>
      </c>
      <c r="B43" s="357"/>
      <c r="C43" s="358">
        <v>4</v>
      </c>
      <c r="D43" s="365">
        <v>3785997</v>
      </c>
      <c r="E43" s="365">
        <v>217917</v>
      </c>
      <c r="F43" s="365">
        <f>SUM(D43:E43)</f>
        <v>4003914</v>
      </c>
      <c r="G43" s="365">
        <v>250911</v>
      </c>
      <c r="H43" s="365">
        <v>4254825</v>
      </c>
      <c r="I43" s="366">
        <v>121205156</v>
      </c>
      <c r="J43" s="366">
        <v>81745797</v>
      </c>
      <c r="K43" s="366">
        <v>1331392</v>
      </c>
      <c r="L43" s="366">
        <v>15803039</v>
      </c>
      <c r="M43" s="371">
        <v>220085384</v>
      </c>
      <c r="N43" s="365">
        <v>224340209</v>
      </c>
      <c r="O43" s="150">
        <f>F43/N43*100</f>
        <v>1.7847509449364913</v>
      </c>
    </row>
    <row r="44" spans="1:15" ht="15">
      <c r="A44" s="28" t="str">
        <f>'Anne-6'!A45</f>
        <v>Addition during 2012-13</v>
      </c>
      <c r="B44" s="359"/>
      <c r="C44" s="360">
        <v>3</v>
      </c>
      <c r="D44" s="371">
        <f>D38-D43</f>
        <v>-1172868</v>
      </c>
      <c r="E44" s="371">
        <f>E38-E43</f>
        <v>-51286</v>
      </c>
      <c r="F44" s="371">
        <f>F38-F43</f>
        <v>-1224154</v>
      </c>
      <c r="G44" s="371">
        <f>G38-G43</f>
        <v>-68172</v>
      </c>
      <c r="H44" s="371">
        <f aca="true" t="shared" si="15" ref="H44:M44">H38-H43</f>
        <v>-1292326</v>
      </c>
      <c r="I44" s="371">
        <f t="shared" si="15"/>
        <v>-36892751</v>
      </c>
      <c r="J44" s="371">
        <f t="shared" si="15"/>
        <v>-14063783</v>
      </c>
      <c r="K44" s="371">
        <f t="shared" si="15"/>
        <v>258420</v>
      </c>
      <c r="L44" s="371">
        <f t="shared" si="15"/>
        <v>-1449589</v>
      </c>
      <c r="M44" s="371">
        <f t="shared" si="15"/>
        <v>-52147703</v>
      </c>
      <c r="N44" s="371">
        <f>N38-N43</f>
        <v>-53440029</v>
      </c>
      <c r="O44" s="413" t="s">
        <v>130</v>
      </c>
    </row>
    <row r="45" spans="2:15" ht="15">
      <c r="B45" s="34"/>
      <c r="C45" s="34"/>
      <c r="I45" s="361"/>
      <c r="M45" s="74"/>
      <c r="O45" s="74"/>
    </row>
    <row r="46" spans="2:7" ht="15">
      <c r="B46" s="34"/>
      <c r="C46" s="34"/>
      <c r="D46" s="344"/>
      <c r="E46" s="344"/>
      <c r="F46" s="344"/>
      <c r="G46" s="344"/>
    </row>
    <row r="47" spans="2:9" ht="15">
      <c r="B47" s="34"/>
      <c r="C47" s="34"/>
      <c r="D47" s="344"/>
      <c r="E47" s="344"/>
      <c r="F47" s="344"/>
      <c r="I47" s="362"/>
    </row>
    <row r="48" spans="2:16" ht="15.75">
      <c r="B48" s="34"/>
      <c r="C48" s="34"/>
      <c r="D48" s="344"/>
      <c r="E48" s="344"/>
      <c r="F48" s="344"/>
      <c r="M48" s="344"/>
      <c r="P48" s="29"/>
    </row>
    <row r="49" spans="2:9" ht="15">
      <c r="B49" s="34"/>
      <c r="C49" s="34"/>
      <c r="D49" s="344"/>
      <c r="E49" s="344"/>
      <c r="F49" s="344"/>
      <c r="G49" s="344"/>
      <c r="I49" s="362"/>
    </row>
    <row r="50" ht="15">
      <c r="I50" s="362"/>
    </row>
  </sheetData>
  <sheetProtection/>
  <mergeCells count="18">
    <mergeCell ref="I7:I8"/>
    <mergeCell ref="P6:U6"/>
    <mergeCell ref="P7:R7"/>
    <mergeCell ref="S7:U7"/>
    <mergeCell ref="N6:N8"/>
    <mergeCell ref="O6:O8"/>
    <mergeCell ref="M7:M8"/>
    <mergeCell ref="K7:K8"/>
    <mergeCell ref="A6:A8"/>
    <mergeCell ref="B6:B8"/>
    <mergeCell ref="C6:C8"/>
    <mergeCell ref="H7:H8"/>
    <mergeCell ref="D6:H6"/>
    <mergeCell ref="I6:M6"/>
    <mergeCell ref="D7:F7"/>
    <mergeCell ref="G7:G8"/>
    <mergeCell ref="L7:L8"/>
    <mergeCell ref="J7:J8"/>
  </mergeCells>
  <conditionalFormatting sqref="O10:O34">
    <cfRule type="top10" priority="1" dxfId="1" stopIfTrue="1" rank="3" bottom="1"/>
    <cfRule type="top10" priority="2" dxfId="0" stopIfTrue="1" rank="3"/>
  </conditionalFormatting>
  <printOptions/>
  <pageMargins left="0.2362204724409449" right="0.2362204724409449" top="0.1968503937007874" bottom="0.1968503937007874" header="0.5118110236220472" footer="0.5118110236220472"/>
  <pageSetup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SheetLayoutView="10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8" sqref="E38"/>
    </sheetView>
  </sheetViews>
  <sheetFormatPr defaultColWidth="9.140625" defaultRowHeight="12.75"/>
  <cols>
    <col min="1" max="1" width="6.140625" style="2" customWidth="1"/>
    <col min="2" max="2" width="19.7109375" style="2" customWidth="1"/>
    <col min="3" max="3" width="6.7109375" style="2" customWidth="1"/>
    <col min="4" max="4" width="12.140625" style="2" customWidth="1"/>
    <col min="5" max="5" width="10.140625" style="2" bestFit="1" customWidth="1"/>
    <col min="6" max="6" width="12.140625" style="2" customWidth="1"/>
    <col min="7" max="7" width="13.421875" style="97" hidden="1" customWidth="1"/>
    <col min="8" max="8" width="10.28125" style="2" customWidth="1"/>
    <col min="9" max="9" width="10.57421875" style="2" customWidth="1"/>
    <col min="10" max="10" width="11.8515625" style="2" customWidth="1"/>
    <col min="11" max="11" width="10.140625" style="2" customWidth="1"/>
    <col min="12" max="12" width="10.8515625" style="2" customWidth="1"/>
    <col min="13" max="13" width="8.28125" style="2" customWidth="1"/>
    <col min="14" max="14" width="11.28125" style="2" customWidth="1"/>
    <col min="15" max="15" width="11.57421875" style="2" customWidth="1"/>
    <col min="16" max="16" width="11.00390625" style="2" customWidth="1"/>
    <col min="17" max="18" width="11.8515625" style="2" bestFit="1" customWidth="1"/>
    <col min="19" max="19" width="10.140625" style="2" bestFit="1" customWidth="1"/>
    <col min="20" max="20" width="13.28125" style="2" customWidth="1"/>
    <col min="21" max="21" width="14.7109375" style="2" customWidth="1"/>
    <col min="22" max="16384" width="9.140625" style="2" customWidth="1"/>
  </cols>
  <sheetData>
    <row r="1" ht="15">
      <c r="O1" s="76" t="s">
        <v>154</v>
      </c>
    </row>
    <row r="2" spans="2:9" ht="14.25">
      <c r="B2" s="2" t="str">
        <f>'Anne-7'!B2</f>
        <v>No. 1-2(1)/Market Share/2012-CP&amp;M </v>
      </c>
      <c r="I2" s="2" t="str">
        <f>'Anne-7'!I2</f>
        <v>Dated: 28th February 2013.</v>
      </c>
    </row>
    <row r="3" ht="9" customHeight="1"/>
    <row r="4" spans="2:3" ht="15.75">
      <c r="B4" s="29" t="s">
        <v>245</v>
      </c>
      <c r="C4" s="29"/>
    </row>
    <row r="5" spans="4:14" ht="15">
      <c r="D5" s="90">
        <v>1</v>
      </c>
      <c r="E5" s="90">
        <v>2</v>
      </c>
      <c r="F5" s="90"/>
      <c r="G5" s="98">
        <v>3</v>
      </c>
      <c r="H5" s="90">
        <v>3</v>
      </c>
      <c r="I5" s="90">
        <v>4</v>
      </c>
      <c r="J5" s="90">
        <v>5</v>
      </c>
      <c r="K5" s="90">
        <v>6</v>
      </c>
      <c r="L5" s="90">
        <v>7</v>
      </c>
      <c r="M5" s="90">
        <v>8</v>
      </c>
      <c r="N5" s="54"/>
    </row>
    <row r="6" spans="1:19" ht="14.25">
      <c r="A6" s="467" t="s">
        <v>19</v>
      </c>
      <c r="B6" s="467" t="s">
        <v>20</v>
      </c>
      <c r="C6" s="17" t="s">
        <v>18</v>
      </c>
      <c r="D6" s="111"/>
      <c r="E6" s="18"/>
      <c r="F6" s="18"/>
      <c r="G6" s="99"/>
      <c r="H6" s="18"/>
      <c r="I6" s="18"/>
      <c r="J6" s="18"/>
      <c r="K6" s="18"/>
      <c r="L6" s="18"/>
      <c r="M6" s="18"/>
      <c r="N6" s="18"/>
      <c r="O6" s="19"/>
      <c r="P6" s="557" t="s">
        <v>120</v>
      </c>
      <c r="Q6" s="560" t="s">
        <v>1</v>
      </c>
      <c r="R6" s="560"/>
      <c r="S6" s="560"/>
    </row>
    <row r="7" spans="1:19" ht="12.75" customHeight="1">
      <c r="A7" s="467"/>
      <c r="B7" s="467"/>
      <c r="C7" s="574" t="s">
        <v>118</v>
      </c>
      <c r="D7" s="553" t="s">
        <v>96</v>
      </c>
      <c r="E7" s="573" t="s">
        <v>2</v>
      </c>
      <c r="F7" s="556" t="s">
        <v>52</v>
      </c>
      <c r="G7" s="570" t="s">
        <v>17</v>
      </c>
      <c r="H7" s="538" t="s">
        <v>123</v>
      </c>
      <c r="I7" s="571" t="s">
        <v>15</v>
      </c>
      <c r="J7" s="571" t="s">
        <v>16</v>
      </c>
      <c r="K7" s="576" t="s">
        <v>189</v>
      </c>
      <c r="L7" s="576" t="s">
        <v>190</v>
      </c>
      <c r="M7" s="576" t="s">
        <v>209</v>
      </c>
      <c r="N7" s="577" t="s">
        <v>53</v>
      </c>
      <c r="O7" s="468" t="s">
        <v>57</v>
      </c>
      <c r="P7" s="558"/>
      <c r="Q7" s="560"/>
      <c r="R7" s="560"/>
      <c r="S7" s="560"/>
    </row>
    <row r="8" spans="1:19" ht="48" customHeight="1">
      <c r="A8" s="467"/>
      <c r="B8" s="467"/>
      <c r="C8" s="530"/>
      <c r="D8" s="572"/>
      <c r="E8" s="468"/>
      <c r="F8" s="553"/>
      <c r="G8" s="571"/>
      <c r="H8" s="540"/>
      <c r="I8" s="575"/>
      <c r="J8" s="575"/>
      <c r="K8" s="575"/>
      <c r="L8" s="575"/>
      <c r="M8" s="575"/>
      <c r="N8" s="577"/>
      <c r="O8" s="468"/>
      <c r="P8" s="559"/>
      <c r="Q8" s="52" t="s">
        <v>47</v>
      </c>
      <c r="R8" s="45" t="s">
        <v>87</v>
      </c>
      <c r="S8" s="409" t="s">
        <v>88</v>
      </c>
    </row>
    <row r="9" spans="1:26" ht="14.25" customHeight="1">
      <c r="A9" s="5">
        <v>1</v>
      </c>
      <c r="B9" s="6" t="s">
        <v>21</v>
      </c>
      <c r="C9" s="6"/>
      <c r="D9" s="8"/>
      <c r="E9" s="8"/>
      <c r="F9" s="8">
        <f>SUM(D9:E9)</f>
        <v>0</v>
      </c>
      <c r="G9" s="70"/>
      <c r="H9" s="8"/>
      <c r="I9" s="8"/>
      <c r="J9" s="8"/>
      <c r="K9" s="8"/>
      <c r="L9" s="8"/>
      <c r="M9" s="8"/>
      <c r="N9" s="16"/>
      <c r="O9" s="8">
        <f aca="true" t="shared" si="0" ref="O9:O37">N9+F9</f>
        <v>0</v>
      </c>
      <c r="P9" s="8"/>
      <c r="Q9" s="8">
        <f>R9+S9</f>
        <v>13623</v>
      </c>
      <c r="R9" s="327">
        <v>7921</v>
      </c>
      <c r="S9" s="327">
        <v>5702</v>
      </c>
      <c r="U9" s="2">
        <v>13584</v>
      </c>
      <c r="Z9" s="2">
        <v>85.60482966824058</v>
      </c>
    </row>
    <row r="10" spans="1:26" ht="14.25">
      <c r="A10" s="5">
        <v>2</v>
      </c>
      <c r="B10" s="6" t="s">
        <v>22</v>
      </c>
      <c r="C10" s="85">
        <v>1</v>
      </c>
      <c r="D10" s="8">
        <f>Q10</f>
        <v>1868092</v>
      </c>
      <c r="E10" s="8"/>
      <c r="F10" s="8">
        <f aca="true" t="shared" si="1" ref="F10:F37">SUM(D10:E10)</f>
        <v>1868092</v>
      </c>
      <c r="G10" s="70">
        <v>125749</v>
      </c>
      <c r="H10" s="70">
        <f>G10</f>
        <v>125749</v>
      </c>
      <c r="I10" s="70">
        <v>89788</v>
      </c>
      <c r="J10" s="70">
        <v>169472</v>
      </c>
      <c r="K10" s="8"/>
      <c r="L10" s="8"/>
      <c r="M10" s="8">
        <v>5340</v>
      </c>
      <c r="N10" s="8">
        <f>M10+L10+J10+I10+K10+H10</f>
        <v>390349</v>
      </c>
      <c r="O10" s="8">
        <f t="shared" si="0"/>
        <v>2258441</v>
      </c>
      <c r="P10" s="138">
        <f>D10/O10*100</f>
        <v>82.71599745133922</v>
      </c>
      <c r="Q10" s="8">
        <f aca="true" t="shared" si="2" ref="Q10:Q34">R10+S10</f>
        <v>1868092</v>
      </c>
      <c r="R10" s="327">
        <v>1240441</v>
      </c>
      <c r="S10" s="327">
        <v>627651</v>
      </c>
      <c r="U10" s="2">
        <v>1871305</v>
      </c>
      <c r="Z10" s="2">
        <v>99.80086852457846</v>
      </c>
    </row>
    <row r="11" spans="1:26" ht="14.25">
      <c r="A11" s="5">
        <v>3</v>
      </c>
      <c r="B11" s="6" t="s">
        <v>23</v>
      </c>
      <c r="C11" s="85">
        <v>1</v>
      </c>
      <c r="D11" s="8">
        <f>Q11</f>
        <v>193965</v>
      </c>
      <c r="E11" s="8"/>
      <c r="F11" s="8">
        <f t="shared" si="1"/>
        <v>193965</v>
      </c>
      <c r="G11" s="70"/>
      <c r="H11" s="70">
        <f>G11</f>
        <v>0</v>
      </c>
      <c r="I11" s="70">
        <v>0</v>
      </c>
      <c r="J11" s="70">
        <v>0</v>
      </c>
      <c r="K11" s="8"/>
      <c r="L11" s="8"/>
      <c r="M11" s="8">
        <v>60</v>
      </c>
      <c r="N11" s="8">
        <f aca="true" t="shared" si="3" ref="N11:N37">M11+L11+J11+I11+K11+H11</f>
        <v>60</v>
      </c>
      <c r="O11" s="8">
        <f t="shared" si="0"/>
        <v>194025</v>
      </c>
      <c r="P11" s="138">
        <f aca="true" t="shared" si="4" ref="P11:P37">D11/O11*100</f>
        <v>99.96907614998068</v>
      </c>
      <c r="Q11" s="8">
        <f t="shared" si="2"/>
        <v>193965</v>
      </c>
      <c r="R11" s="327">
        <v>156188</v>
      </c>
      <c r="S11" s="327">
        <v>37777</v>
      </c>
      <c r="U11" s="2">
        <v>193952</v>
      </c>
      <c r="Z11" s="2">
        <v>99.29410131832813</v>
      </c>
    </row>
    <row r="12" spans="1:26" ht="14.25">
      <c r="A12" s="5">
        <v>4</v>
      </c>
      <c r="B12" s="6" t="s">
        <v>24</v>
      </c>
      <c r="C12" s="85">
        <v>1</v>
      </c>
      <c r="D12" s="8">
        <f>Q12+Q18</f>
        <v>376232</v>
      </c>
      <c r="E12" s="8"/>
      <c r="F12" s="8">
        <f t="shared" si="1"/>
        <v>376232</v>
      </c>
      <c r="G12" s="70"/>
      <c r="H12" s="70">
        <f aca="true" t="shared" si="5" ref="H12:H37">G12</f>
        <v>0</v>
      </c>
      <c r="I12" s="70">
        <v>4978</v>
      </c>
      <c r="J12" s="70">
        <v>11179</v>
      </c>
      <c r="K12" s="8"/>
      <c r="L12" s="8"/>
      <c r="M12" s="8">
        <v>30</v>
      </c>
      <c r="N12" s="8">
        <f t="shared" si="3"/>
        <v>16187</v>
      </c>
      <c r="O12" s="8">
        <f t="shared" si="0"/>
        <v>392419</v>
      </c>
      <c r="P12" s="138">
        <f t="shared" si="4"/>
        <v>95.87507230791577</v>
      </c>
      <c r="Q12" s="8">
        <f t="shared" si="2"/>
        <v>215224</v>
      </c>
      <c r="R12" s="327">
        <v>116448</v>
      </c>
      <c r="S12" s="327">
        <v>98776</v>
      </c>
      <c r="U12" s="2">
        <v>382971</v>
      </c>
      <c r="Z12" s="2">
        <v>89.63273485884523</v>
      </c>
    </row>
    <row r="13" spans="1:26" ht="14.25">
      <c r="A13" s="5">
        <v>5</v>
      </c>
      <c r="B13" s="6" t="s">
        <v>25</v>
      </c>
      <c r="C13" s="85"/>
      <c r="D13" s="8"/>
      <c r="E13" s="8"/>
      <c r="F13" s="8">
        <f t="shared" si="1"/>
        <v>0</v>
      </c>
      <c r="G13" s="70">
        <v>55516</v>
      </c>
      <c r="H13" s="70"/>
      <c r="I13" s="70"/>
      <c r="J13" s="70"/>
      <c r="K13" s="8"/>
      <c r="L13" s="8"/>
      <c r="M13" s="8"/>
      <c r="N13" s="8">
        <f t="shared" si="3"/>
        <v>0</v>
      </c>
      <c r="O13" s="8">
        <f t="shared" si="0"/>
        <v>0</v>
      </c>
      <c r="P13" s="138"/>
      <c r="Q13" s="8">
        <f t="shared" si="2"/>
        <v>143910</v>
      </c>
      <c r="R13" s="327">
        <v>122661</v>
      </c>
      <c r="S13" s="327">
        <v>21249</v>
      </c>
      <c r="U13" s="2">
        <v>143629</v>
      </c>
      <c r="Z13" s="2">
        <v>95.65037645182001</v>
      </c>
    </row>
    <row r="14" spans="1:26" ht="14.25">
      <c r="A14" s="5">
        <v>6</v>
      </c>
      <c r="B14" s="6" t="s">
        <v>26</v>
      </c>
      <c r="C14" s="85">
        <v>1</v>
      </c>
      <c r="D14" s="8">
        <f>Q14</f>
        <v>1564601</v>
      </c>
      <c r="E14" s="8"/>
      <c r="F14" s="8">
        <f t="shared" si="1"/>
        <v>1564601</v>
      </c>
      <c r="G14" s="70">
        <v>55432</v>
      </c>
      <c r="H14" s="70">
        <f t="shared" si="5"/>
        <v>55432</v>
      </c>
      <c r="I14" s="70">
        <v>100845</v>
      </c>
      <c r="J14" s="70">
        <v>69185</v>
      </c>
      <c r="K14" s="8"/>
      <c r="L14" s="8"/>
      <c r="M14" s="8">
        <v>240</v>
      </c>
      <c r="N14" s="8">
        <f t="shared" si="3"/>
        <v>225702</v>
      </c>
      <c r="O14" s="8">
        <f t="shared" si="0"/>
        <v>1790303</v>
      </c>
      <c r="P14" s="138">
        <f t="shared" si="4"/>
        <v>87.39308374057352</v>
      </c>
      <c r="Q14" s="8">
        <f t="shared" si="2"/>
        <v>1564601</v>
      </c>
      <c r="R14" s="327">
        <v>1204869</v>
      </c>
      <c r="S14" s="327">
        <v>359732</v>
      </c>
      <c r="U14" s="2">
        <v>1561561</v>
      </c>
      <c r="Z14" s="2">
        <v>98.70950073495302</v>
      </c>
    </row>
    <row r="15" spans="1:26" ht="14.25">
      <c r="A15" s="5">
        <v>7</v>
      </c>
      <c r="B15" s="6" t="s">
        <v>27</v>
      </c>
      <c r="C15" s="85">
        <v>1</v>
      </c>
      <c r="D15" s="8">
        <f>Q15</f>
        <v>509455</v>
      </c>
      <c r="E15" s="8"/>
      <c r="F15" s="8">
        <f t="shared" si="1"/>
        <v>509455</v>
      </c>
      <c r="G15" s="70">
        <v>23946</v>
      </c>
      <c r="H15" s="70">
        <f t="shared" si="5"/>
        <v>23946</v>
      </c>
      <c r="I15" s="70">
        <v>5171</v>
      </c>
      <c r="J15" s="70">
        <v>27524</v>
      </c>
      <c r="K15" s="8"/>
      <c r="L15" s="8"/>
      <c r="M15" s="8"/>
      <c r="N15" s="8">
        <f t="shared" si="3"/>
        <v>56641</v>
      </c>
      <c r="O15" s="8">
        <f t="shared" si="0"/>
        <v>566096</v>
      </c>
      <c r="P15" s="138">
        <f t="shared" si="4"/>
        <v>89.9944532376134</v>
      </c>
      <c r="Q15" s="8">
        <f t="shared" si="2"/>
        <v>509455</v>
      </c>
      <c r="R15" s="327">
        <v>341576</v>
      </c>
      <c r="S15" s="327">
        <v>167879</v>
      </c>
      <c r="U15" s="2">
        <v>515927</v>
      </c>
      <c r="Z15" s="2">
        <v>99.97113064460531</v>
      </c>
    </row>
    <row r="16" spans="1:26" ht="14.25">
      <c r="A16" s="5">
        <v>8</v>
      </c>
      <c r="B16" s="6" t="s">
        <v>28</v>
      </c>
      <c r="C16" s="85">
        <v>1</v>
      </c>
      <c r="D16" s="8">
        <f>Q16</f>
        <v>283597</v>
      </c>
      <c r="E16" s="8"/>
      <c r="F16" s="8">
        <f t="shared" si="1"/>
        <v>283597</v>
      </c>
      <c r="G16" s="70"/>
      <c r="H16" s="70">
        <f t="shared" si="5"/>
        <v>0</v>
      </c>
      <c r="I16" s="70">
        <v>4492</v>
      </c>
      <c r="J16" s="70">
        <v>2267</v>
      </c>
      <c r="K16" s="8"/>
      <c r="L16" s="8"/>
      <c r="M16" s="8"/>
      <c r="N16" s="8">
        <f t="shared" si="3"/>
        <v>6759</v>
      </c>
      <c r="O16" s="8">
        <f t="shared" si="0"/>
        <v>290356</v>
      </c>
      <c r="P16" s="138">
        <f t="shared" si="4"/>
        <v>97.67216795933268</v>
      </c>
      <c r="Q16" s="8">
        <f t="shared" si="2"/>
        <v>283597</v>
      </c>
      <c r="R16" s="327">
        <v>59816</v>
      </c>
      <c r="S16" s="327">
        <v>223781</v>
      </c>
      <c r="U16" s="2">
        <v>285983</v>
      </c>
      <c r="Z16" s="2">
        <v>75.71221873871875</v>
      </c>
    </row>
    <row r="17" spans="1:26" ht="14.25">
      <c r="A17" s="5">
        <v>9</v>
      </c>
      <c r="B17" s="6" t="s">
        <v>29</v>
      </c>
      <c r="C17" s="85">
        <v>1</v>
      </c>
      <c r="D17" s="8">
        <f>Q17</f>
        <v>197867</v>
      </c>
      <c r="E17" s="8"/>
      <c r="F17" s="8">
        <f t="shared" si="1"/>
        <v>197867</v>
      </c>
      <c r="G17" s="70"/>
      <c r="H17" s="70">
        <f t="shared" si="5"/>
        <v>0</v>
      </c>
      <c r="I17" s="70">
        <v>0</v>
      </c>
      <c r="J17" s="70"/>
      <c r="K17" s="8"/>
      <c r="L17" s="8"/>
      <c r="M17" s="8"/>
      <c r="N17" s="8">
        <f t="shared" si="3"/>
        <v>0</v>
      </c>
      <c r="O17" s="8">
        <f t="shared" si="0"/>
        <v>197867</v>
      </c>
      <c r="P17" s="138">
        <f t="shared" si="4"/>
        <v>100</v>
      </c>
      <c r="Q17" s="8">
        <f t="shared" si="2"/>
        <v>197867</v>
      </c>
      <c r="R17" s="327">
        <v>161448</v>
      </c>
      <c r="S17" s="327">
        <v>36419</v>
      </c>
      <c r="U17" s="2">
        <v>198715</v>
      </c>
      <c r="Z17" s="2">
        <v>96.67962101031165</v>
      </c>
    </row>
    <row r="18" spans="1:26" ht="14.25">
      <c r="A18" s="5">
        <v>10</v>
      </c>
      <c r="B18" s="6" t="s">
        <v>30</v>
      </c>
      <c r="C18" s="85"/>
      <c r="D18" s="8"/>
      <c r="E18" s="8"/>
      <c r="F18" s="8">
        <f t="shared" si="1"/>
        <v>0</v>
      </c>
      <c r="G18" s="70"/>
      <c r="H18" s="70">
        <f t="shared" si="5"/>
        <v>0</v>
      </c>
      <c r="I18" s="70"/>
      <c r="J18" s="70"/>
      <c r="K18" s="8"/>
      <c r="L18" s="8"/>
      <c r="M18" s="8"/>
      <c r="N18" s="8">
        <f t="shared" si="3"/>
        <v>0</v>
      </c>
      <c r="O18" s="8">
        <f t="shared" si="0"/>
        <v>0</v>
      </c>
      <c r="P18" s="138"/>
      <c r="Q18" s="8">
        <f t="shared" si="2"/>
        <v>161008</v>
      </c>
      <c r="R18" s="327">
        <v>145548</v>
      </c>
      <c r="S18" s="327">
        <v>15460</v>
      </c>
      <c r="U18" s="2">
        <v>160928</v>
      </c>
      <c r="Z18" s="2">
        <v>78.24355311618743</v>
      </c>
    </row>
    <row r="19" spans="1:26" ht="14.25">
      <c r="A19" s="5">
        <v>11</v>
      </c>
      <c r="B19" s="6" t="s">
        <v>31</v>
      </c>
      <c r="C19" s="85">
        <v>1</v>
      </c>
      <c r="D19" s="8">
        <f>Q19</f>
        <v>1698816</v>
      </c>
      <c r="E19" s="8"/>
      <c r="F19" s="8">
        <f t="shared" si="1"/>
        <v>1698816</v>
      </c>
      <c r="G19" s="70">
        <v>492064</v>
      </c>
      <c r="H19" s="70">
        <f t="shared" si="5"/>
        <v>492064</v>
      </c>
      <c r="I19" s="70">
        <v>113671</v>
      </c>
      <c r="J19" s="70">
        <v>139448</v>
      </c>
      <c r="K19" s="8"/>
      <c r="L19" s="8"/>
      <c r="M19" s="8">
        <v>3090</v>
      </c>
      <c r="N19" s="8">
        <f t="shared" si="3"/>
        <v>748273</v>
      </c>
      <c r="O19" s="8">
        <f t="shared" si="0"/>
        <v>2447089</v>
      </c>
      <c r="P19" s="138">
        <f t="shared" si="4"/>
        <v>69.42191313842693</v>
      </c>
      <c r="Q19" s="8">
        <f t="shared" si="2"/>
        <v>1698816</v>
      </c>
      <c r="R19" s="327">
        <v>1306983</v>
      </c>
      <c r="S19" s="327">
        <v>391833</v>
      </c>
      <c r="U19" s="2">
        <v>1705830</v>
      </c>
      <c r="Z19" s="2">
        <v>89.60746703418836</v>
      </c>
    </row>
    <row r="20" spans="1:26" ht="14.25">
      <c r="A20" s="5">
        <v>12</v>
      </c>
      <c r="B20" s="6" t="s">
        <v>32</v>
      </c>
      <c r="C20" s="85">
        <v>1</v>
      </c>
      <c r="D20" s="8">
        <f>Q20</f>
        <v>2963352</v>
      </c>
      <c r="E20" s="8"/>
      <c r="F20" s="8">
        <f t="shared" si="1"/>
        <v>2963352</v>
      </c>
      <c r="G20" s="70">
        <v>55934</v>
      </c>
      <c r="H20" s="70">
        <f>G20</f>
        <v>55934</v>
      </c>
      <c r="I20" s="70">
        <v>54440</v>
      </c>
      <c r="J20" s="70">
        <v>11732</v>
      </c>
      <c r="K20" s="8"/>
      <c r="L20" s="8"/>
      <c r="M20" s="8"/>
      <c r="N20" s="8">
        <f t="shared" si="3"/>
        <v>122106</v>
      </c>
      <c r="O20" s="8">
        <f t="shared" si="0"/>
        <v>3085458</v>
      </c>
      <c r="P20" s="138">
        <f t="shared" si="4"/>
        <v>96.04253242144279</v>
      </c>
      <c r="Q20" s="8">
        <f t="shared" si="2"/>
        <v>2963352</v>
      </c>
      <c r="R20" s="327">
        <v>921984</v>
      </c>
      <c r="S20" s="327">
        <v>2041368</v>
      </c>
      <c r="U20" s="2">
        <v>2972537</v>
      </c>
      <c r="Z20" s="2">
        <v>99.97456889684165</v>
      </c>
    </row>
    <row r="21" spans="1:26" ht="14.25">
      <c r="A21" s="5">
        <v>13</v>
      </c>
      <c r="B21" s="6" t="s">
        <v>33</v>
      </c>
      <c r="C21" s="85">
        <v>1</v>
      </c>
      <c r="D21" s="8">
        <f>Q21+Q13</f>
        <v>835744</v>
      </c>
      <c r="E21" s="8"/>
      <c r="F21" s="8">
        <f t="shared" si="1"/>
        <v>835744</v>
      </c>
      <c r="G21" s="70">
        <v>186405</v>
      </c>
      <c r="H21" s="70">
        <f>G21+G13</f>
        <v>241921</v>
      </c>
      <c r="I21" s="70">
        <v>28215</v>
      </c>
      <c r="J21" s="70">
        <v>15445</v>
      </c>
      <c r="K21" s="8"/>
      <c r="L21" s="8"/>
      <c r="M21" s="8">
        <v>60</v>
      </c>
      <c r="N21" s="8">
        <f t="shared" si="3"/>
        <v>285641</v>
      </c>
      <c r="O21" s="8">
        <f t="shared" si="0"/>
        <v>1121385</v>
      </c>
      <c r="P21" s="138">
        <f t="shared" si="4"/>
        <v>74.52783834276364</v>
      </c>
      <c r="Q21" s="8">
        <f t="shared" si="2"/>
        <v>691834</v>
      </c>
      <c r="R21" s="327">
        <v>554083</v>
      </c>
      <c r="S21" s="327">
        <v>137751</v>
      </c>
      <c r="U21" s="2">
        <v>691159</v>
      </c>
      <c r="Z21" s="2">
        <v>98.60322263014092</v>
      </c>
    </row>
    <row r="22" spans="1:26" ht="14.25">
      <c r="A22" s="5">
        <v>14</v>
      </c>
      <c r="B22" s="6" t="s">
        <v>34</v>
      </c>
      <c r="C22" s="85">
        <v>1</v>
      </c>
      <c r="D22" s="8">
        <f>Q22</f>
        <v>2097654</v>
      </c>
      <c r="E22" s="8"/>
      <c r="F22" s="8">
        <f t="shared" si="1"/>
        <v>2097654</v>
      </c>
      <c r="G22" s="70">
        <v>70357</v>
      </c>
      <c r="H22" s="70">
        <f t="shared" si="5"/>
        <v>70357</v>
      </c>
      <c r="I22" s="70">
        <v>101817</v>
      </c>
      <c r="J22" s="70">
        <v>246170</v>
      </c>
      <c r="K22" s="8"/>
      <c r="L22" s="8"/>
      <c r="M22" s="8">
        <v>2520</v>
      </c>
      <c r="N22" s="8">
        <f t="shared" si="3"/>
        <v>420864</v>
      </c>
      <c r="O22" s="8">
        <f t="shared" si="0"/>
        <v>2518518</v>
      </c>
      <c r="P22" s="138">
        <f t="shared" si="4"/>
        <v>83.28922008895707</v>
      </c>
      <c r="Q22" s="8">
        <f t="shared" si="2"/>
        <v>2097654</v>
      </c>
      <c r="R22" s="327">
        <v>1499953</v>
      </c>
      <c r="S22" s="327">
        <v>597701</v>
      </c>
      <c r="U22" s="2">
        <v>2113234</v>
      </c>
      <c r="Z22" s="2">
        <v>79.92374107626578</v>
      </c>
    </row>
    <row r="23" spans="1:26" ht="14.25">
      <c r="A23" s="5">
        <v>15</v>
      </c>
      <c r="B23" s="6" t="s">
        <v>35</v>
      </c>
      <c r="C23" s="85">
        <v>1</v>
      </c>
      <c r="D23" s="8">
        <f>Q23+Q24</f>
        <v>216915</v>
      </c>
      <c r="E23" s="8"/>
      <c r="F23" s="8">
        <f t="shared" si="1"/>
        <v>216915</v>
      </c>
      <c r="G23" s="70"/>
      <c r="H23" s="70">
        <f t="shared" si="5"/>
        <v>0</v>
      </c>
      <c r="I23" s="70">
        <v>0</v>
      </c>
      <c r="J23" s="70"/>
      <c r="K23" s="8"/>
      <c r="L23" s="8"/>
      <c r="M23" s="8"/>
      <c r="N23" s="8">
        <f t="shared" si="3"/>
        <v>0</v>
      </c>
      <c r="O23" s="8">
        <f t="shared" si="0"/>
        <v>216915</v>
      </c>
      <c r="P23" s="138">
        <f t="shared" si="4"/>
        <v>100</v>
      </c>
      <c r="Q23" s="8">
        <f t="shared" si="2"/>
        <v>139555</v>
      </c>
      <c r="R23" s="327">
        <v>103893</v>
      </c>
      <c r="S23" s="327">
        <v>35662</v>
      </c>
      <c r="U23" s="2">
        <v>139609</v>
      </c>
      <c r="Z23" s="2">
        <v>92.71026885407557</v>
      </c>
    </row>
    <row r="24" spans="1:26" ht="14.25">
      <c r="A24" s="5">
        <v>16</v>
      </c>
      <c r="B24" s="6" t="s">
        <v>36</v>
      </c>
      <c r="C24" s="85"/>
      <c r="D24" s="8"/>
      <c r="E24" s="8"/>
      <c r="F24" s="8">
        <f t="shared" si="1"/>
        <v>0</v>
      </c>
      <c r="G24" s="70"/>
      <c r="H24" s="70">
        <f t="shared" si="5"/>
        <v>0</v>
      </c>
      <c r="I24" s="70"/>
      <c r="J24" s="70"/>
      <c r="K24" s="8"/>
      <c r="L24" s="8"/>
      <c r="M24" s="8"/>
      <c r="N24" s="8">
        <f t="shared" si="3"/>
        <v>0</v>
      </c>
      <c r="O24" s="8">
        <f t="shared" si="0"/>
        <v>0</v>
      </c>
      <c r="P24" s="138"/>
      <c r="Q24" s="8">
        <f t="shared" si="2"/>
        <v>77360</v>
      </c>
      <c r="R24" s="327">
        <v>59758</v>
      </c>
      <c r="S24" s="327">
        <v>17602</v>
      </c>
      <c r="U24" s="2">
        <v>77956</v>
      </c>
      <c r="Z24" s="2">
        <v>91.28337895095608</v>
      </c>
    </row>
    <row r="25" spans="1:26" ht="14.25">
      <c r="A25" s="5">
        <v>17</v>
      </c>
      <c r="B25" s="6" t="s">
        <v>37</v>
      </c>
      <c r="C25" s="85">
        <v>1</v>
      </c>
      <c r="D25" s="8">
        <f>Q25</f>
        <v>385484</v>
      </c>
      <c r="E25" s="8"/>
      <c r="F25" s="8">
        <f t="shared" si="1"/>
        <v>385484</v>
      </c>
      <c r="G25" s="70"/>
      <c r="H25" s="70">
        <f t="shared" si="5"/>
        <v>0</v>
      </c>
      <c r="I25" s="70">
        <v>3591</v>
      </c>
      <c r="J25" s="71">
        <v>6713</v>
      </c>
      <c r="K25" s="8"/>
      <c r="L25" s="8"/>
      <c r="M25" s="8">
        <v>210</v>
      </c>
      <c r="N25" s="8">
        <f t="shared" si="3"/>
        <v>10514</v>
      </c>
      <c r="O25" s="8">
        <f t="shared" si="0"/>
        <v>395998</v>
      </c>
      <c r="P25" s="138">
        <f t="shared" si="4"/>
        <v>97.34493608553578</v>
      </c>
      <c r="Q25" s="8">
        <f>R25+S25</f>
        <v>385484</v>
      </c>
      <c r="R25" s="327">
        <v>264748</v>
      </c>
      <c r="S25" s="327">
        <v>120736</v>
      </c>
      <c r="U25" s="2">
        <v>384670</v>
      </c>
      <c r="Z25" s="2">
        <v>94.06692280432698</v>
      </c>
    </row>
    <row r="26" spans="1:26" ht="14.25">
      <c r="A26" s="5">
        <v>18</v>
      </c>
      <c r="B26" s="6" t="s">
        <v>38</v>
      </c>
      <c r="C26" s="85">
        <v>1</v>
      </c>
      <c r="D26" s="8">
        <f>Q26</f>
        <v>1019448</v>
      </c>
      <c r="E26" s="8"/>
      <c r="F26" s="8">
        <f t="shared" si="1"/>
        <v>1019448</v>
      </c>
      <c r="G26" s="70">
        <v>105979</v>
      </c>
      <c r="H26" s="70">
        <f t="shared" si="5"/>
        <v>105979</v>
      </c>
      <c r="I26" s="70">
        <v>26543</v>
      </c>
      <c r="J26" s="70">
        <v>16466</v>
      </c>
      <c r="K26" s="70">
        <v>184716</v>
      </c>
      <c r="L26" s="70"/>
      <c r="M26" s="70">
        <v>240</v>
      </c>
      <c r="N26" s="8">
        <f t="shared" si="3"/>
        <v>333944</v>
      </c>
      <c r="O26" s="8">
        <f t="shared" si="0"/>
        <v>1353392</v>
      </c>
      <c r="P26" s="138">
        <f t="shared" si="4"/>
        <v>75.32540461300201</v>
      </c>
      <c r="Q26" s="8">
        <f t="shared" si="2"/>
        <v>1019448</v>
      </c>
      <c r="R26" s="327">
        <v>615694</v>
      </c>
      <c r="S26" s="327">
        <v>403754</v>
      </c>
      <c r="U26" s="2">
        <v>1037448</v>
      </c>
      <c r="Z26" s="2">
        <v>97.34495055716977</v>
      </c>
    </row>
    <row r="27" spans="1:26" ht="14.25">
      <c r="A27" s="5">
        <v>19</v>
      </c>
      <c r="B27" s="6" t="s">
        <v>39</v>
      </c>
      <c r="C27" s="85">
        <v>1</v>
      </c>
      <c r="D27" s="8">
        <f>Q27</f>
        <v>928757</v>
      </c>
      <c r="E27" s="8"/>
      <c r="F27" s="8">
        <f t="shared" si="1"/>
        <v>928757</v>
      </c>
      <c r="G27" s="70">
        <v>39384</v>
      </c>
      <c r="H27" s="70">
        <f>G27</f>
        <v>39384</v>
      </c>
      <c r="I27" s="70">
        <v>24750</v>
      </c>
      <c r="J27" s="71">
        <v>6981</v>
      </c>
      <c r="K27" s="70"/>
      <c r="L27" s="70">
        <v>50570</v>
      </c>
      <c r="M27" s="70">
        <v>240</v>
      </c>
      <c r="N27" s="8">
        <f t="shared" si="3"/>
        <v>121925</v>
      </c>
      <c r="O27" s="8">
        <f t="shared" si="0"/>
        <v>1050682</v>
      </c>
      <c r="P27" s="138">
        <f>D27/O27*100</f>
        <v>88.3956325510478</v>
      </c>
      <c r="Q27" s="8">
        <f t="shared" si="2"/>
        <v>928757</v>
      </c>
      <c r="R27" s="327">
        <v>655359</v>
      </c>
      <c r="S27" s="327">
        <v>273398</v>
      </c>
      <c r="U27" s="2">
        <v>963456</v>
      </c>
      <c r="Z27" s="2">
        <v>99.57320250470293</v>
      </c>
    </row>
    <row r="28" spans="1:26" ht="14.25">
      <c r="A28" s="5">
        <v>20</v>
      </c>
      <c r="B28" s="6" t="s">
        <v>40</v>
      </c>
      <c r="C28" s="85">
        <v>1</v>
      </c>
      <c r="D28" s="8">
        <f>Q28</f>
        <v>1598166</v>
      </c>
      <c r="E28" s="8"/>
      <c r="F28" s="8">
        <f t="shared" si="1"/>
        <v>1598166</v>
      </c>
      <c r="G28" s="70">
        <v>147554</v>
      </c>
      <c r="H28" s="70">
        <f t="shared" si="5"/>
        <v>147554</v>
      </c>
      <c r="I28" s="70">
        <v>38639</v>
      </c>
      <c r="J28" s="70">
        <v>8586</v>
      </c>
      <c r="K28" s="8"/>
      <c r="L28" s="8"/>
      <c r="M28" s="8">
        <v>1500</v>
      </c>
      <c r="N28" s="8">
        <f t="shared" si="3"/>
        <v>196279</v>
      </c>
      <c r="O28" s="8">
        <f t="shared" si="0"/>
        <v>1794445</v>
      </c>
      <c r="P28" s="138">
        <f t="shared" si="4"/>
        <v>89.06185477961152</v>
      </c>
      <c r="Q28" s="8">
        <f t="shared" si="2"/>
        <v>1598166</v>
      </c>
      <c r="R28" s="327">
        <v>1069974</v>
      </c>
      <c r="S28" s="327">
        <v>528192</v>
      </c>
      <c r="U28" s="2">
        <v>1607624</v>
      </c>
      <c r="Z28" s="2">
        <v>86.84519099492839</v>
      </c>
    </row>
    <row r="29" spans="1:26" ht="14.25">
      <c r="A29" s="5">
        <v>21</v>
      </c>
      <c r="B29" s="6" t="s">
        <v>41</v>
      </c>
      <c r="C29" s="85"/>
      <c r="D29" s="8"/>
      <c r="E29" s="8"/>
      <c r="F29" s="8">
        <f t="shared" si="1"/>
        <v>0</v>
      </c>
      <c r="G29" s="70"/>
      <c r="H29" s="70">
        <f t="shared" si="5"/>
        <v>0</v>
      </c>
      <c r="I29" s="70"/>
      <c r="J29" s="70"/>
      <c r="K29" s="8"/>
      <c r="L29" s="8"/>
      <c r="M29" s="8"/>
      <c r="N29" s="8">
        <f t="shared" si="3"/>
        <v>0</v>
      </c>
      <c r="O29" s="8">
        <f t="shared" si="0"/>
        <v>0</v>
      </c>
      <c r="P29" s="138"/>
      <c r="Q29" s="8">
        <f t="shared" si="2"/>
        <v>202851</v>
      </c>
      <c r="R29" s="327">
        <v>154625</v>
      </c>
      <c r="S29" s="327">
        <v>48226</v>
      </c>
      <c r="U29" s="2">
        <v>203078</v>
      </c>
      <c r="Z29" s="2">
        <v>68.69298009921071</v>
      </c>
    </row>
    <row r="30" spans="1:26" ht="14.25">
      <c r="A30" s="5">
        <v>22</v>
      </c>
      <c r="B30" s="6" t="s">
        <v>42</v>
      </c>
      <c r="C30" s="85">
        <v>1</v>
      </c>
      <c r="D30" s="8">
        <f>Q30</f>
        <v>950351</v>
      </c>
      <c r="E30" s="8"/>
      <c r="F30" s="8">
        <f t="shared" si="1"/>
        <v>950351</v>
      </c>
      <c r="G30" s="70">
        <v>50583</v>
      </c>
      <c r="H30" s="70">
        <f t="shared" si="5"/>
        <v>50583</v>
      </c>
      <c r="I30" s="70">
        <v>40517</v>
      </c>
      <c r="J30" s="71">
        <v>13470</v>
      </c>
      <c r="K30" s="8"/>
      <c r="L30" s="8"/>
      <c r="M30" s="8">
        <v>420</v>
      </c>
      <c r="N30" s="8">
        <f t="shared" si="3"/>
        <v>104990</v>
      </c>
      <c r="O30" s="8">
        <f t="shared" si="0"/>
        <v>1055341</v>
      </c>
      <c r="P30" s="138">
        <f t="shared" si="4"/>
        <v>90.05155679538652</v>
      </c>
      <c r="Q30" s="8">
        <f t="shared" si="2"/>
        <v>950351</v>
      </c>
      <c r="R30" s="327">
        <v>694863</v>
      </c>
      <c r="S30" s="327">
        <v>255488</v>
      </c>
      <c r="U30" s="2">
        <v>954373</v>
      </c>
      <c r="Z30" s="2">
        <v>88.91460676253703</v>
      </c>
    </row>
    <row r="31" spans="1:26" ht="14.25">
      <c r="A31" s="5">
        <v>23</v>
      </c>
      <c r="B31" s="6" t="s">
        <v>43</v>
      </c>
      <c r="C31" s="85">
        <v>1</v>
      </c>
      <c r="D31" s="8">
        <f>Q31+Q29</f>
        <v>734046</v>
      </c>
      <c r="E31" s="8"/>
      <c r="F31" s="8">
        <f t="shared" si="1"/>
        <v>734046</v>
      </c>
      <c r="G31" s="70">
        <v>24322</v>
      </c>
      <c r="H31" s="70">
        <f t="shared" si="5"/>
        <v>24322</v>
      </c>
      <c r="I31" s="70">
        <v>5546</v>
      </c>
      <c r="J31" s="71">
        <v>8539</v>
      </c>
      <c r="K31" s="8"/>
      <c r="L31" s="8"/>
      <c r="M31" s="8">
        <v>30</v>
      </c>
      <c r="N31" s="8">
        <f t="shared" si="3"/>
        <v>38437</v>
      </c>
      <c r="O31" s="8">
        <f t="shared" si="0"/>
        <v>772483</v>
      </c>
      <c r="P31" s="138">
        <f t="shared" si="4"/>
        <v>95.02422707036918</v>
      </c>
      <c r="Q31" s="8">
        <f t="shared" si="2"/>
        <v>531195</v>
      </c>
      <c r="R31" s="327">
        <v>453195</v>
      </c>
      <c r="S31" s="327">
        <v>78000</v>
      </c>
      <c r="U31" s="2">
        <v>532361</v>
      </c>
      <c r="Z31" s="2">
        <v>0</v>
      </c>
    </row>
    <row r="32" spans="1:26" ht="14.25">
      <c r="A32" s="5">
        <v>24</v>
      </c>
      <c r="B32" s="6" t="s">
        <v>44</v>
      </c>
      <c r="C32" s="85">
        <v>1</v>
      </c>
      <c r="D32" s="8">
        <f>Q32+Q9</f>
        <v>583990</v>
      </c>
      <c r="E32" s="8"/>
      <c r="F32" s="8">
        <f t="shared" si="1"/>
        <v>583990</v>
      </c>
      <c r="G32" s="70"/>
      <c r="H32" s="70">
        <f t="shared" si="5"/>
        <v>0</v>
      </c>
      <c r="I32" s="70">
        <v>2112</v>
      </c>
      <c r="J32" s="71">
        <v>6100</v>
      </c>
      <c r="K32" s="8"/>
      <c r="L32" s="8"/>
      <c r="M32" s="8"/>
      <c r="N32" s="8">
        <f t="shared" si="3"/>
        <v>8212</v>
      </c>
      <c r="O32" s="8">
        <f t="shared" si="0"/>
        <v>592202</v>
      </c>
      <c r="P32" s="138">
        <f t="shared" si="4"/>
        <v>98.61331099861196</v>
      </c>
      <c r="Q32" s="8">
        <f t="shared" si="2"/>
        <v>570367</v>
      </c>
      <c r="R32" s="327">
        <v>316090</v>
      </c>
      <c r="S32" s="327">
        <v>254277</v>
      </c>
      <c r="U32" s="2">
        <v>571574</v>
      </c>
      <c r="Z32" s="2">
        <v>0</v>
      </c>
    </row>
    <row r="33" spans="1:26" ht="14.25">
      <c r="A33" s="5">
        <v>25</v>
      </c>
      <c r="B33" s="6" t="s">
        <v>45</v>
      </c>
      <c r="C33" s="85">
        <v>1</v>
      </c>
      <c r="D33" s="8">
        <f>Q33</f>
        <v>935168</v>
      </c>
      <c r="E33" s="8"/>
      <c r="F33" s="8">
        <f t="shared" si="1"/>
        <v>935168</v>
      </c>
      <c r="G33" s="70">
        <v>93972</v>
      </c>
      <c r="H33" s="70">
        <f t="shared" si="5"/>
        <v>93972</v>
      </c>
      <c r="I33" s="70">
        <v>81465</v>
      </c>
      <c r="J33" s="70">
        <v>37357</v>
      </c>
      <c r="K33" s="8"/>
      <c r="L33" s="8"/>
      <c r="M33" s="8">
        <v>1260</v>
      </c>
      <c r="N33" s="8">
        <f t="shared" si="3"/>
        <v>214054</v>
      </c>
      <c r="O33" s="8">
        <f t="shared" si="0"/>
        <v>1149222</v>
      </c>
      <c r="P33" s="138">
        <f t="shared" si="4"/>
        <v>81.37400780702076</v>
      </c>
      <c r="Q33" s="8">
        <f t="shared" si="2"/>
        <v>935168</v>
      </c>
      <c r="R33" s="327">
        <v>935168</v>
      </c>
      <c r="S33" s="327">
        <v>0</v>
      </c>
      <c r="U33" s="2">
        <v>938584</v>
      </c>
      <c r="Z33" s="2">
        <v>75.3354056694775</v>
      </c>
    </row>
    <row r="34" spans="1:21" ht="14.25">
      <c r="A34" s="5">
        <v>26</v>
      </c>
      <c r="B34" s="6" t="s">
        <v>46</v>
      </c>
      <c r="C34" s="85">
        <v>1</v>
      </c>
      <c r="D34" s="8">
        <f>Q34</f>
        <v>817907</v>
      </c>
      <c r="E34" s="8"/>
      <c r="F34" s="8">
        <f t="shared" si="1"/>
        <v>817907</v>
      </c>
      <c r="G34" s="70">
        <v>338592</v>
      </c>
      <c r="H34" s="70">
        <f t="shared" si="5"/>
        <v>338592</v>
      </c>
      <c r="I34" s="70">
        <v>109629</v>
      </c>
      <c r="J34" s="70">
        <v>65174</v>
      </c>
      <c r="K34" s="8"/>
      <c r="L34" s="8"/>
      <c r="M34" s="8"/>
      <c r="N34" s="8">
        <f t="shared" si="3"/>
        <v>513395</v>
      </c>
      <c r="O34" s="8">
        <f t="shared" si="0"/>
        <v>1331302</v>
      </c>
      <c r="P34" s="138">
        <f t="shared" si="4"/>
        <v>61.43662369620117</v>
      </c>
      <c r="Q34" s="8">
        <f t="shared" si="2"/>
        <v>817907</v>
      </c>
      <c r="R34" s="327">
        <v>796702</v>
      </c>
      <c r="S34" s="327">
        <v>21205</v>
      </c>
      <c r="U34" s="2">
        <v>819056</v>
      </c>
    </row>
    <row r="35" spans="1:21" ht="15">
      <c r="A35" s="5"/>
      <c r="B35" s="7" t="s">
        <v>47</v>
      </c>
      <c r="C35" s="45">
        <v>1</v>
      </c>
      <c r="D35" s="8">
        <f>SUM(D9:D34)</f>
        <v>20759607</v>
      </c>
      <c r="E35" s="8">
        <f aca="true" t="shared" si="6" ref="E35:M35">SUM(E9:E34)</f>
        <v>0</v>
      </c>
      <c r="F35" s="8">
        <f t="shared" si="6"/>
        <v>20759607</v>
      </c>
      <c r="G35" s="70">
        <f t="shared" si="6"/>
        <v>1865789</v>
      </c>
      <c r="H35" s="70">
        <f t="shared" si="6"/>
        <v>1865789</v>
      </c>
      <c r="I35" s="70">
        <f t="shared" si="6"/>
        <v>836209</v>
      </c>
      <c r="J35" s="70">
        <f t="shared" si="6"/>
        <v>861808</v>
      </c>
      <c r="K35" s="8">
        <f t="shared" si="6"/>
        <v>184716</v>
      </c>
      <c r="L35" s="8">
        <f t="shared" si="6"/>
        <v>50570</v>
      </c>
      <c r="M35" s="8">
        <f t="shared" si="6"/>
        <v>15240</v>
      </c>
      <c r="N35" s="8">
        <f>SUM(N9:N34)</f>
        <v>3814332</v>
      </c>
      <c r="O35" s="8">
        <f>SUM(O9:O34)</f>
        <v>24573939</v>
      </c>
      <c r="P35" s="330">
        <f t="shared" si="4"/>
        <v>84.47814166056162</v>
      </c>
      <c r="Q35" s="31">
        <f>SUM(Q9:Q34)</f>
        <v>20759607</v>
      </c>
      <c r="R35" s="31">
        <f>SUM(R9:R34)</f>
        <v>13959988</v>
      </c>
      <c r="S35" s="31">
        <f>SUM(S9:S34)</f>
        <v>6799619</v>
      </c>
      <c r="U35" s="31">
        <f>SUM(U9:U34)</f>
        <v>21041104</v>
      </c>
    </row>
    <row r="36" spans="1:17" ht="14.25">
      <c r="A36" s="4">
        <v>27</v>
      </c>
      <c r="B36" s="3" t="s">
        <v>48</v>
      </c>
      <c r="C36" s="4"/>
      <c r="D36" s="11"/>
      <c r="E36" s="70">
        <v>1584555</v>
      </c>
      <c r="F36" s="8">
        <f t="shared" si="1"/>
        <v>1584555</v>
      </c>
      <c r="G36" s="70">
        <v>1082791</v>
      </c>
      <c r="H36" s="70">
        <f t="shared" si="5"/>
        <v>1082791</v>
      </c>
      <c r="I36" s="70">
        <v>187050</v>
      </c>
      <c r="J36" s="70">
        <v>91407</v>
      </c>
      <c r="K36" s="8"/>
      <c r="L36" s="8"/>
      <c r="M36" s="8">
        <v>7740</v>
      </c>
      <c r="N36" s="8">
        <f t="shared" si="3"/>
        <v>1368988</v>
      </c>
      <c r="O36" s="8">
        <f t="shared" si="0"/>
        <v>2953543</v>
      </c>
      <c r="P36" s="138">
        <f t="shared" si="4"/>
        <v>0</v>
      </c>
      <c r="Q36" s="32"/>
    </row>
    <row r="37" spans="1:18" ht="14.25">
      <c r="A37" s="4">
        <v>28</v>
      </c>
      <c r="B37" s="3" t="s">
        <v>49</v>
      </c>
      <c r="C37" s="4"/>
      <c r="D37" s="11"/>
      <c r="E37" s="70">
        <v>1870948</v>
      </c>
      <c r="F37" s="8">
        <f t="shared" si="1"/>
        <v>1870948</v>
      </c>
      <c r="G37" s="70">
        <v>331937</v>
      </c>
      <c r="H37" s="70">
        <f t="shared" si="5"/>
        <v>331937</v>
      </c>
      <c r="I37" s="70">
        <v>236042</v>
      </c>
      <c r="J37" s="70">
        <v>546146</v>
      </c>
      <c r="K37" s="8"/>
      <c r="L37" s="8"/>
      <c r="M37" s="8">
        <v>6660</v>
      </c>
      <c r="N37" s="8">
        <f t="shared" si="3"/>
        <v>1120785</v>
      </c>
      <c r="O37" s="8">
        <f t="shared" si="0"/>
        <v>2991733</v>
      </c>
      <c r="P37" s="138">
        <f t="shared" si="4"/>
        <v>0</v>
      </c>
      <c r="Q37" s="32"/>
      <c r="R37" s="23"/>
    </row>
    <row r="38" spans="1:19" ht="15">
      <c r="A38" s="4"/>
      <c r="B38" s="3" t="s">
        <v>50</v>
      </c>
      <c r="C38" s="4">
        <v>1</v>
      </c>
      <c r="D38" s="8">
        <f aca="true" t="shared" si="7" ref="D38:O38">SUM(D35:D37)</f>
        <v>20759607</v>
      </c>
      <c r="E38" s="8">
        <f t="shared" si="7"/>
        <v>3455503</v>
      </c>
      <c r="F38" s="8">
        <f t="shared" si="7"/>
        <v>24215110</v>
      </c>
      <c r="G38" s="93">
        <f t="shared" si="7"/>
        <v>3280517</v>
      </c>
      <c r="H38" s="70">
        <f t="shared" si="7"/>
        <v>3280517</v>
      </c>
      <c r="I38" s="70">
        <f t="shared" si="7"/>
        <v>1259301</v>
      </c>
      <c r="J38" s="70">
        <f t="shared" si="7"/>
        <v>1499361</v>
      </c>
      <c r="K38" s="8">
        <f t="shared" si="7"/>
        <v>184716</v>
      </c>
      <c r="L38" s="8">
        <f t="shared" si="7"/>
        <v>50570</v>
      </c>
      <c r="M38" s="8">
        <f t="shared" si="7"/>
        <v>29640</v>
      </c>
      <c r="N38" s="8">
        <f t="shared" si="7"/>
        <v>6304105</v>
      </c>
      <c r="O38" s="8">
        <f t="shared" si="7"/>
        <v>30519215</v>
      </c>
      <c r="P38" s="330">
        <f>D38/O38*100</f>
        <v>68.02143174390298</v>
      </c>
      <c r="Q38" s="156"/>
      <c r="R38" s="156"/>
      <c r="S38" s="156"/>
    </row>
    <row r="39" spans="1:21" ht="14.25">
      <c r="A39" s="3" t="s">
        <v>51</v>
      </c>
      <c r="B39" s="3"/>
      <c r="C39" s="4"/>
      <c r="D39" s="139">
        <f>D38/O38*100</f>
        <v>68.02143174390298</v>
      </c>
      <c r="E39" s="139">
        <f>E38/O38*100</f>
        <v>11.322384930280808</v>
      </c>
      <c r="F39" s="139">
        <f>F38/O38*100</f>
        <v>79.34381667418378</v>
      </c>
      <c r="G39" s="139">
        <f>G38/O38*100</f>
        <v>10.749021559040756</v>
      </c>
      <c r="H39" s="139">
        <f>H38/O38*100</f>
        <v>10.749021559040756</v>
      </c>
      <c r="I39" s="139">
        <f>I38/O38*100</f>
        <v>4.126256196301249</v>
      </c>
      <c r="J39" s="139">
        <f>J38/O38*100</f>
        <v>4.9128426140711685</v>
      </c>
      <c r="K39" s="139">
        <f>K38/O38*100</f>
        <v>0.6052449252053174</v>
      </c>
      <c r="L39" s="139">
        <f>L38/O38*100</f>
        <v>0.16569888838883962</v>
      </c>
      <c r="M39" s="139"/>
      <c r="N39" s="139">
        <f>N38/O38*100</f>
        <v>20.65618332581621</v>
      </c>
      <c r="O39" s="139">
        <f>O38/O38*100</f>
        <v>100</v>
      </c>
      <c r="P39" s="139"/>
      <c r="Q39" s="12"/>
      <c r="U39" s="23"/>
    </row>
    <row r="40" spans="1:17" ht="14.25">
      <c r="A40" s="101"/>
      <c r="B40" s="101"/>
      <c r="C40" s="329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40"/>
      <c r="Q40" s="12"/>
    </row>
    <row r="41" spans="1:17" ht="14.25">
      <c r="A41" s="3" t="str">
        <f>'Anne-7'!A41</f>
        <v>Conn. As on 31.12.2012</v>
      </c>
      <c r="B41" s="3"/>
      <c r="C41" s="4">
        <v>1</v>
      </c>
      <c r="D41" s="8">
        <v>21041104</v>
      </c>
      <c r="E41" s="8">
        <v>3453854</v>
      </c>
      <c r="F41" s="8">
        <v>24494958</v>
      </c>
      <c r="G41" s="8">
        <v>3278375</v>
      </c>
      <c r="H41" s="8">
        <v>3278375</v>
      </c>
      <c r="I41" s="8">
        <v>1258739</v>
      </c>
      <c r="J41" s="8">
        <v>1489833</v>
      </c>
      <c r="K41" s="8">
        <v>183823</v>
      </c>
      <c r="L41" s="8">
        <v>49692</v>
      </c>
      <c r="M41" s="8">
        <v>28620</v>
      </c>
      <c r="N41" s="8">
        <v>6289082</v>
      </c>
      <c r="O41" s="8">
        <v>30784040</v>
      </c>
      <c r="P41" s="138">
        <f>D41/O41*100</f>
        <v>68.35069081251194</v>
      </c>
      <c r="Q41" s="12"/>
    </row>
    <row r="42" spans="1:16" ht="14.25">
      <c r="A42" s="3" t="str">
        <f>'Anne-7'!A42</f>
        <v>Addition during Jan 2013</v>
      </c>
      <c r="B42" s="108"/>
      <c r="C42" s="320">
        <v>8</v>
      </c>
      <c r="D42" s="8">
        <f aca="true" t="shared" si="8" ref="D42:O42">D38-D41</f>
        <v>-281497</v>
      </c>
      <c r="E42" s="8">
        <f t="shared" si="8"/>
        <v>1649</v>
      </c>
      <c r="F42" s="8">
        <f t="shared" si="8"/>
        <v>-279848</v>
      </c>
      <c r="G42" s="8">
        <f t="shared" si="8"/>
        <v>2142</v>
      </c>
      <c r="H42" s="8">
        <f t="shared" si="8"/>
        <v>2142</v>
      </c>
      <c r="I42" s="8">
        <f t="shared" si="8"/>
        <v>562</v>
      </c>
      <c r="J42" s="8">
        <f t="shared" si="8"/>
        <v>9528</v>
      </c>
      <c r="K42" s="8">
        <f t="shared" si="8"/>
        <v>893</v>
      </c>
      <c r="L42" s="8">
        <f t="shared" si="8"/>
        <v>878</v>
      </c>
      <c r="M42" s="8">
        <f t="shared" si="8"/>
        <v>1020</v>
      </c>
      <c r="N42" s="8">
        <f t="shared" si="8"/>
        <v>15023</v>
      </c>
      <c r="O42" s="8">
        <f t="shared" si="8"/>
        <v>-264825</v>
      </c>
      <c r="P42" s="155" t="s">
        <v>130</v>
      </c>
    </row>
    <row r="43" spans="1:16" ht="14.25">
      <c r="A43" s="3" t="str">
        <f>'Anne-7'!A43</f>
        <v>Conn. As on 31.03.2012</v>
      </c>
      <c r="B43" s="108"/>
      <c r="C43" s="4">
        <v>1</v>
      </c>
      <c r="D43" s="8">
        <v>22467732</v>
      </c>
      <c r="E43" s="8">
        <v>3455248</v>
      </c>
      <c r="F43" s="8">
        <v>25922980</v>
      </c>
      <c r="G43" s="8">
        <v>3269949</v>
      </c>
      <c r="H43" s="8">
        <v>3269949</v>
      </c>
      <c r="I43" s="8">
        <v>1269750</v>
      </c>
      <c r="J43" s="8">
        <v>1441370</v>
      </c>
      <c r="K43" s="8">
        <v>200432</v>
      </c>
      <c r="L43" s="8">
        <v>46659</v>
      </c>
      <c r="M43" s="8">
        <v>17850</v>
      </c>
      <c r="N43" s="8">
        <f>6228160+17850</f>
        <v>6246010</v>
      </c>
      <c r="O43" s="8">
        <v>32151140</v>
      </c>
      <c r="P43" s="138">
        <f>D43/O43*100</f>
        <v>69.88160295404766</v>
      </c>
    </row>
    <row r="44" spans="1:16" ht="14.25">
      <c r="A44" s="3" t="str">
        <f>'Anne-7'!A44</f>
        <v>Addition during 2012-13</v>
      </c>
      <c r="B44" s="108"/>
      <c r="C44" s="4">
        <v>8</v>
      </c>
      <c r="D44" s="8">
        <f aca="true" t="shared" si="9" ref="D44:O44">D38-D43</f>
        <v>-1708125</v>
      </c>
      <c r="E44" s="8">
        <f t="shared" si="9"/>
        <v>255</v>
      </c>
      <c r="F44" s="8">
        <f t="shared" si="9"/>
        <v>-1707870</v>
      </c>
      <c r="G44" s="8">
        <f t="shared" si="9"/>
        <v>10568</v>
      </c>
      <c r="H44" s="8">
        <f t="shared" si="9"/>
        <v>10568</v>
      </c>
      <c r="I44" s="8">
        <f t="shared" si="9"/>
        <v>-10449</v>
      </c>
      <c r="J44" s="8">
        <f t="shared" si="9"/>
        <v>57991</v>
      </c>
      <c r="K44" s="8">
        <f t="shared" si="9"/>
        <v>-15716</v>
      </c>
      <c r="L44" s="8">
        <f t="shared" si="9"/>
        <v>3911</v>
      </c>
      <c r="M44" s="8">
        <f t="shared" si="9"/>
        <v>11790</v>
      </c>
      <c r="N44" s="8">
        <f t="shared" si="9"/>
        <v>58095</v>
      </c>
      <c r="O44" s="8">
        <f t="shared" si="9"/>
        <v>-1631925</v>
      </c>
      <c r="P44" s="155" t="s">
        <v>130</v>
      </c>
    </row>
    <row r="45" spans="1:16" ht="14.25">
      <c r="A45" s="426" t="s">
        <v>223</v>
      </c>
      <c r="B45" s="426"/>
      <c r="C45" s="32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425"/>
    </row>
    <row r="46" spans="1:16" ht="14.25">
      <c r="A46" s="101"/>
      <c r="B46" s="101"/>
      <c r="C46" s="329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425"/>
    </row>
    <row r="47" spans="1:16" ht="14.25">
      <c r="A47" s="101"/>
      <c r="B47" s="101"/>
      <c r="C47" s="32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425"/>
    </row>
    <row r="48" spans="1:16" ht="14.25">
      <c r="A48" s="101"/>
      <c r="B48" s="101"/>
      <c r="C48" s="329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425"/>
    </row>
    <row r="49" spans="1:16" ht="14.25">
      <c r="A49" s="101"/>
      <c r="B49" s="101"/>
      <c r="C49" s="32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425"/>
    </row>
    <row r="50" ht="14.25">
      <c r="B50" s="2" t="s">
        <v>79</v>
      </c>
    </row>
    <row r="51" spans="2:10" ht="14.25">
      <c r="B51" s="2" t="s">
        <v>78</v>
      </c>
      <c r="I51" s="23"/>
      <c r="J51" s="23"/>
    </row>
    <row r="52" spans="2:11" ht="14.25">
      <c r="B52" s="2" t="s">
        <v>74</v>
      </c>
      <c r="K52" s="23"/>
    </row>
    <row r="53" spans="2:10" ht="14.25">
      <c r="B53" s="2" t="s">
        <v>73</v>
      </c>
      <c r="J53" s="23"/>
    </row>
    <row r="54" spans="2:3" ht="15">
      <c r="B54" s="26" t="s">
        <v>77</v>
      </c>
      <c r="C54" s="26"/>
    </row>
    <row r="57" spans="4:15" ht="14.25">
      <c r="D57" s="23">
        <f>D11+D23</f>
        <v>410880</v>
      </c>
      <c r="O57" s="23">
        <f>O11+O23</f>
        <v>410940</v>
      </c>
    </row>
    <row r="59" ht="14.25">
      <c r="D59" s="23" t="e">
        <f>D44+'Anne-7'!D44+'Anne-7'!#REF!</f>
        <v>#REF!</v>
      </c>
    </row>
  </sheetData>
  <sheetProtection/>
  <mergeCells count="17">
    <mergeCell ref="I7:I8"/>
    <mergeCell ref="J7:J8"/>
    <mergeCell ref="L7:L8"/>
    <mergeCell ref="Q6:S7"/>
    <mergeCell ref="N7:N8"/>
    <mergeCell ref="O7:O8"/>
    <mergeCell ref="K7:K8"/>
    <mergeCell ref="P6:P8"/>
    <mergeCell ref="M7:M8"/>
    <mergeCell ref="H7:H8"/>
    <mergeCell ref="G7:G8"/>
    <mergeCell ref="A6:A8"/>
    <mergeCell ref="B6:B8"/>
    <mergeCell ref="D7:D8"/>
    <mergeCell ref="E7:E8"/>
    <mergeCell ref="F7:F8"/>
    <mergeCell ref="C7:C8"/>
  </mergeCells>
  <conditionalFormatting sqref="P10:P35">
    <cfRule type="top10" priority="1" dxfId="1" stopIfTrue="1" rank="5" bottom="1"/>
    <cfRule type="top10" priority="2" dxfId="0" stopIfTrue="1" rank="5"/>
  </conditionalFormatting>
  <conditionalFormatting sqref="P9:P35">
    <cfRule type="top10" priority="3" dxfId="1" stopIfTrue="1" rank="5" bottom="1"/>
    <cfRule type="top10" priority="4" dxfId="0" stopIfTrue="1" rank="5"/>
  </conditionalFormatting>
  <printOptions/>
  <pageMargins left="0.3937007874015748" right="0.3937007874015748" top="0.1968503937007874" bottom="0.1968503937007874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Nishi</cp:lastModifiedBy>
  <cp:lastPrinted>2013-02-28T09:57:56Z</cp:lastPrinted>
  <dcterms:created xsi:type="dcterms:W3CDTF">2007-06-20T11:07:42Z</dcterms:created>
  <dcterms:modified xsi:type="dcterms:W3CDTF">2013-03-18T09:37:51Z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